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 codeName="ThisWorkbook"/>
  <mc:AlternateContent xmlns:mc="http://schemas.openxmlformats.org/markup-compatibility/2006">
    <mc:Choice Requires="x15">
      <x15ac:absPath xmlns:x15ac="http://schemas.microsoft.com/office/spreadsheetml/2010/11/ac" url="https://scalian-my.sharepoint.com/personal/yannick_martz_scalian_com/Documents/0_FILES_YM/2025/Etude de cas/"/>
    </mc:Choice>
  </mc:AlternateContent>
  <xr:revisionPtr revIDLastSave="8" documentId="8_{21D47C3B-8A1E-4C8C-BF67-997A9DF1F51C}" xr6:coauthVersionLast="47" xr6:coauthVersionMax="47" xr10:uidLastSave="{70BF9288-4938-4A84-9749-B02248525A78}"/>
  <bookViews>
    <workbookView xWindow="-108" yWindow="-108" windowWidth="23256" windowHeight="13896" tabRatio="939" firstSheet="5" activeTab="5" xr2:uid="{00000000-000D-0000-FFFF-FFFF00000000}"/>
  </bookViews>
  <sheets>
    <sheet name="ACV - OPERA QATAR" sheetId="1" state="hidden" r:id="rId1"/>
    <sheet name="ACV - ANALYSE - EQUIPEMENT" sheetId="2" state="hidden" r:id="rId2"/>
    <sheet name="ACV - ANALYSE - EQUIPEMENT (2)" sheetId="41" state="hidden" r:id="rId3"/>
    <sheet name="ACV - FOLIO - 1" sheetId="40" state="hidden" r:id="rId4"/>
    <sheet name="CALCUL MASSE CABLE" sheetId="39" state="hidden" r:id="rId5"/>
    <sheet name="RECAP MATIERE" sheetId="24" r:id="rId6"/>
    <sheet name="BOM" sheetId="38" r:id="rId7"/>
    <sheet name="FAUTEUIL" sheetId="5" state="hidden" r:id="rId8"/>
    <sheet name="COQUE" sheetId="6" state="hidden" r:id="rId9"/>
    <sheet name="TETIERE" sheetId="7" state="hidden" r:id="rId10"/>
    <sheet name="ENS TABLETTE COCKTAIL" sheetId="8" state="hidden" r:id="rId11"/>
    <sheet name="ENS TABLETTE REPAS" sheetId="10" state="hidden" r:id="rId12"/>
    <sheet name="STOWAGE ASSEMBLE AVEC PORTE" sheetId="11" state="hidden" r:id="rId13"/>
    <sheet name="SUPPORT ECRAN ASSEMBLE" sheetId="12" state="hidden" r:id="rId14"/>
    <sheet name="RENFORT TUBULAIRE" sheetId="13" state="hidden" r:id="rId15"/>
    <sheet name="HABILLAGE SOUS FAUTEUIL" sheetId="14" state="hidden" r:id="rId16"/>
    <sheet name="ENSEMBLE PALETTE OPTIMISEE" sheetId="16" state="hidden" r:id="rId17"/>
    <sheet name="ENSEMBLE EQUIPEMENTS LATERALES" sheetId="15" state="hidden" r:id="rId18"/>
    <sheet name="ACCOUDOIR ALLEE" sheetId="17" state="hidden" r:id="rId19"/>
    <sheet name="BUMPER VERSION PORTE" sheetId="18" state="hidden" r:id="rId20"/>
    <sheet name="STRUCTURE OTTOMAN (horizontale)" sheetId="19" state="hidden" r:id="rId21"/>
    <sheet name="SUPPORT EQUIPE" sheetId="20" state="hidden" r:id="rId22"/>
    <sheet name="ENS STOWAGE LATERAL" sheetId="21" state="hidden" r:id="rId23"/>
    <sheet name="MANCHETTE ACC MOBILE" sheetId="22" state="hidden" r:id="rId24"/>
    <sheet name="MANCHETTE EQUIPEE" sheetId="23" state="hidden" r:id="rId25"/>
    <sheet name="SUPPORT MANCHETTE EQUIPEE" sheetId="26" state="hidden" r:id="rId26"/>
    <sheet name="SUPPORT NFC" sheetId="27" state="hidden" r:id="rId27"/>
    <sheet name="CAPOT NFC" sheetId="28" state="hidden" r:id="rId28"/>
    <sheet name="ENS STRUCTURE FIXE" sheetId="31" state="hidden" r:id="rId29"/>
    <sheet name="ENS PORTE" sheetId="32" state="hidden" r:id="rId30"/>
    <sheet name="COUSSIN OTTOMAN" sheetId="33" state="hidden" r:id="rId31"/>
    <sheet name="COUSSIN TETIERE" sheetId="34" state="hidden" r:id="rId32"/>
    <sheet name="ENS COUSSIN DOS VERSION TETIERE" sheetId="35" state="hidden" r:id="rId33"/>
    <sheet name="ENS COUSSIN DOSSIER" sheetId="36" state="hidden" r:id="rId34"/>
    <sheet name="ENS COUSSIN ASSISE" sheetId="37" state="hidden" r:id="rId35"/>
  </sheets>
  <externalReferences>
    <externalReference r:id="rId36"/>
  </externalReferences>
  <definedNames>
    <definedName name="_xlnm._FilterDatabase" localSheetId="6" hidden="1">BOM!$A$1:$Y$269</definedName>
    <definedName name="_xlnm._FilterDatabase" localSheetId="4" hidden="1">'CALCUL MASSE CABLE'!$A$1:$G$74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55" i="38" l="1"/>
  <c r="F256" i="38"/>
  <c r="E257" i="38"/>
  <c r="F257" i="38"/>
  <c r="F258" i="38"/>
  <c r="E262" i="38" l="1"/>
  <c r="F262" i="38"/>
  <c r="E72" i="24"/>
  <c r="B72" i="24"/>
  <c r="E71" i="24"/>
  <c r="B67" i="24"/>
  <c r="B71" i="24"/>
  <c r="I253" i="38"/>
  <c r="G253" i="38" s="1"/>
  <c r="I252" i="38"/>
  <c r="G252" i="38"/>
  <c r="I250" i="38"/>
  <c r="G250" i="38" s="1"/>
  <c r="I249" i="38"/>
  <c r="G249" i="38" s="1"/>
  <c r="I247" i="38"/>
  <c r="G247" i="38" s="1"/>
  <c r="I246" i="38"/>
  <c r="G246" i="38" s="1"/>
  <c r="I244" i="38"/>
  <c r="G244" i="38" s="1"/>
  <c r="I243" i="38"/>
  <c r="G243" i="38"/>
  <c r="I241" i="38"/>
  <c r="G241" i="38" s="1"/>
  <c r="I240" i="38"/>
  <c r="G240" i="38" s="1"/>
  <c r="I238" i="38"/>
  <c r="G238" i="38" s="1"/>
  <c r="I237" i="38"/>
  <c r="G237" i="38"/>
  <c r="I235" i="38"/>
  <c r="G235" i="38"/>
  <c r="I234" i="38"/>
  <c r="G234" i="38"/>
  <c r="I232" i="38"/>
  <c r="G232" i="38" s="1"/>
  <c r="I231" i="38"/>
  <c r="G231" i="38" s="1"/>
  <c r="E253" i="38"/>
  <c r="F253" i="38"/>
  <c r="F231" i="38"/>
  <c r="E232" i="38"/>
  <c r="F232" i="38"/>
  <c r="F233" i="38"/>
  <c r="F234" i="38"/>
  <c r="E235" i="38"/>
  <c r="F235" i="38"/>
  <c r="F236" i="38"/>
  <c r="F237" i="38"/>
  <c r="E238" i="38"/>
  <c r="F238" i="38"/>
  <c r="F239" i="38"/>
  <c r="F240" i="38"/>
  <c r="E241" i="38"/>
  <c r="F241" i="38"/>
  <c r="E242" i="38"/>
  <c r="F242" i="38"/>
  <c r="F243" i="38"/>
  <c r="E244" i="38"/>
  <c r="F244" i="38"/>
  <c r="F245" i="38"/>
  <c r="F246" i="38"/>
  <c r="E247" i="38"/>
  <c r="F247" i="38"/>
  <c r="E248" i="38"/>
  <c r="F248" i="38"/>
  <c r="F249" i="38"/>
  <c r="E250" i="38"/>
  <c r="F250" i="38"/>
  <c r="E251" i="38"/>
  <c r="F251" i="38"/>
  <c r="F252" i="38"/>
  <c r="F229" i="38"/>
  <c r="I229" i="38"/>
  <c r="G229" i="38" s="1"/>
  <c r="I226" i="38"/>
  <c r="I225" i="38"/>
  <c r="G225" i="38" s="1"/>
  <c r="F225" i="38"/>
  <c r="F226" i="38"/>
  <c r="I223" i="38"/>
  <c r="G223" i="38" s="1"/>
  <c r="I222" i="38"/>
  <c r="G222" i="38" s="1"/>
  <c r="F222" i="38"/>
  <c r="F223" i="38"/>
  <c r="E223" i="38"/>
  <c r="K219" i="38"/>
  <c r="K220" i="38"/>
  <c r="F219" i="38"/>
  <c r="F220" i="38"/>
  <c r="I220" i="38"/>
  <c r="G220" i="38" s="1"/>
  <c r="I219" i="38"/>
  <c r="G219" i="38" s="1"/>
  <c r="E220" i="38"/>
  <c r="B70" i="24"/>
  <c r="B68" i="24"/>
  <c r="B69" i="24"/>
  <c r="B66" i="24"/>
  <c r="B65" i="24"/>
  <c r="B64" i="24"/>
  <c r="B61" i="24" l="1"/>
  <c r="E221" i="38" l="1"/>
  <c r="E224" i="38"/>
  <c r="E227" i="38"/>
  <c r="E228" i="38"/>
  <c r="E254" i="38"/>
  <c r="E259" i="38"/>
  <c r="E260" i="38"/>
  <c r="E261" i="38"/>
  <c r="E264" i="38"/>
  <c r="E245" i="38"/>
  <c r="E56" i="24"/>
  <c r="G262" i="38" l="1"/>
  <c r="B73" i="24" s="1"/>
  <c r="H3" i="38"/>
  <c r="H4" i="38"/>
  <c r="H5" i="38"/>
  <c r="H6" i="38"/>
  <c r="H7" i="38"/>
  <c r="H8" i="38"/>
  <c r="H9" i="38"/>
  <c r="H10" i="38"/>
  <c r="H11" i="38"/>
  <c r="H12" i="38"/>
  <c r="H13" i="38"/>
  <c r="H15" i="38"/>
  <c r="H16" i="38"/>
  <c r="H21" i="38"/>
  <c r="H22" i="38"/>
  <c r="H25" i="38"/>
  <c r="H26" i="38"/>
  <c r="H27" i="38"/>
  <c r="H28" i="38"/>
  <c r="H29" i="38"/>
  <c r="H30" i="38"/>
  <c r="H31" i="38"/>
  <c r="H34" i="38"/>
  <c r="H35" i="38"/>
  <c r="H36" i="38"/>
  <c r="H37" i="38"/>
  <c r="H38" i="38"/>
  <c r="H39" i="38"/>
  <c r="H40" i="38"/>
  <c r="H43" i="38"/>
  <c r="H44" i="38"/>
  <c r="H45" i="38"/>
  <c r="H46" i="38"/>
  <c r="H47" i="38"/>
  <c r="H48" i="38"/>
  <c r="H49" i="38"/>
  <c r="H50" i="38"/>
  <c r="H51" i="38"/>
  <c r="H55" i="38"/>
  <c r="H56" i="38"/>
  <c r="H57" i="38"/>
  <c r="H58" i="38"/>
  <c r="H59" i="38"/>
  <c r="H60" i="38"/>
  <c r="H61" i="38"/>
  <c r="H62" i="38"/>
  <c r="H63" i="38"/>
  <c r="H67" i="38"/>
  <c r="H68" i="38"/>
  <c r="H69" i="38"/>
  <c r="H70" i="38"/>
  <c r="H74" i="38"/>
  <c r="H75" i="38"/>
  <c r="H76" i="38"/>
  <c r="H81" i="38"/>
  <c r="H82" i="38"/>
  <c r="H83" i="38"/>
  <c r="H87" i="38"/>
  <c r="H88" i="38"/>
  <c r="H89" i="38"/>
  <c r="H90" i="38"/>
  <c r="H91" i="38"/>
  <c r="H92" i="38"/>
  <c r="H93" i="38"/>
  <c r="H97" i="38"/>
  <c r="H98" i="38"/>
  <c r="H99" i="38"/>
  <c r="H100" i="38"/>
  <c r="H101" i="38"/>
  <c r="H105" i="38"/>
  <c r="H106" i="38"/>
  <c r="H107" i="38"/>
  <c r="H108" i="38"/>
  <c r="H109" i="38"/>
  <c r="H110" i="38"/>
  <c r="H111" i="38"/>
  <c r="H112" i="38"/>
  <c r="H116" i="38"/>
  <c r="H117" i="38"/>
  <c r="H118" i="38"/>
  <c r="H119" i="38"/>
  <c r="H122" i="38"/>
  <c r="H123" i="38"/>
  <c r="H124" i="38"/>
  <c r="H128" i="38"/>
  <c r="H129" i="38"/>
  <c r="H132" i="38"/>
  <c r="H133" i="38"/>
  <c r="H134" i="38"/>
  <c r="H135" i="38"/>
  <c r="H136" i="38"/>
  <c r="H137" i="38"/>
  <c r="H138" i="38"/>
  <c r="H139" i="38"/>
  <c r="H140" i="38"/>
  <c r="H144" i="38"/>
  <c r="H145" i="38"/>
  <c r="H146" i="38"/>
  <c r="H147" i="38"/>
  <c r="H150" i="38"/>
  <c r="H151" i="38"/>
  <c r="H152" i="38"/>
  <c r="H153" i="38"/>
  <c r="H154" i="38"/>
  <c r="H157" i="38"/>
  <c r="H158" i="38"/>
  <c r="H161" i="38"/>
  <c r="H164" i="38"/>
  <c r="H167" i="38"/>
  <c r="H168" i="38"/>
  <c r="H169" i="38"/>
  <c r="H170" i="38"/>
  <c r="H171" i="38"/>
  <c r="H172" i="38"/>
  <c r="H173" i="38"/>
  <c r="H174" i="38"/>
  <c r="H178" i="38"/>
  <c r="H179" i="38"/>
  <c r="H180" i="38"/>
  <c r="H181" i="38"/>
  <c r="H182" i="38"/>
  <c r="H183" i="38"/>
  <c r="H184" i="38"/>
  <c r="H185" i="38"/>
  <c r="H189" i="38"/>
  <c r="H190" i="38"/>
  <c r="H191" i="38"/>
  <c r="H192" i="38"/>
  <c r="H195" i="38"/>
  <c r="H196" i="38"/>
  <c r="H197" i="38"/>
  <c r="H198" i="38"/>
  <c r="H201" i="38"/>
  <c r="H202" i="38"/>
  <c r="H203" i="38"/>
  <c r="H204" i="38"/>
  <c r="H207" i="38"/>
  <c r="H208" i="38"/>
  <c r="H209" i="38"/>
  <c r="H210" i="38"/>
  <c r="H213" i="38"/>
  <c r="H214" i="38"/>
  <c r="H215" i="38"/>
  <c r="H218" i="38"/>
  <c r="H221" i="38"/>
  <c r="H224" i="38"/>
  <c r="H227" i="38"/>
  <c r="H228" i="38"/>
  <c r="H230" i="38"/>
  <c r="H233" i="38"/>
  <c r="H236" i="38"/>
  <c r="H239" i="38"/>
  <c r="H242" i="38"/>
  <c r="H245" i="38"/>
  <c r="H248" i="38"/>
  <c r="H251" i="38"/>
  <c r="H254" i="38"/>
  <c r="H263" i="38"/>
  <c r="H264" i="38"/>
  <c r="H2" i="38"/>
  <c r="E75" i="24" l="1"/>
  <c r="E74" i="24"/>
  <c r="E263" i="38" s="1"/>
  <c r="E69" i="24"/>
  <c r="E68" i="24"/>
  <c r="E239" i="38" s="1"/>
  <c r="E67" i="24"/>
  <c r="E66" i="24"/>
  <c r="E230" i="38" s="1"/>
  <c r="E63" i="24"/>
  <c r="E62" i="24"/>
  <c r="E60" i="24"/>
  <c r="E59" i="24"/>
  <c r="E58" i="24"/>
  <c r="E33" i="38" s="1"/>
  <c r="E57" i="24"/>
  <c r="E258" i="38" s="1"/>
  <c r="E55" i="24"/>
  <c r="E54" i="24"/>
  <c r="E256" i="38" s="1"/>
  <c r="E53" i="24"/>
  <c r="E255" i="38" s="1"/>
  <c r="E52" i="24"/>
  <c r="E51" i="24"/>
  <c r="E50" i="24"/>
  <c r="E49" i="24"/>
  <c r="E47" i="24"/>
  <c r="E46" i="24"/>
  <c r="E45" i="24"/>
  <c r="E44" i="24"/>
  <c r="E43" i="24"/>
  <c r="E42" i="24"/>
  <c r="E41" i="24"/>
  <c r="E40" i="24"/>
  <c r="E39" i="24"/>
  <c r="E38" i="24"/>
  <c r="E37" i="24"/>
  <c r="E36" i="24"/>
  <c r="E35" i="24"/>
  <c r="E34" i="24"/>
  <c r="E33" i="24"/>
  <c r="E32" i="24"/>
  <c r="E31" i="24"/>
  <c r="E30" i="24"/>
  <c r="E29" i="24"/>
  <c r="E28" i="24"/>
  <c r="E27" i="24"/>
  <c r="E26" i="24"/>
  <c r="E25" i="24"/>
  <c r="E24" i="24"/>
  <c r="E23" i="24"/>
  <c r="E22" i="24"/>
  <c r="E21" i="24"/>
  <c r="E20" i="24"/>
  <c r="E19" i="24"/>
  <c r="E67" i="38" s="1"/>
  <c r="E231" i="38" l="1"/>
  <c r="E237" i="38"/>
  <c r="E243" i="38"/>
  <c r="E249" i="38"/>
  <c r="E225" i="38"/>
  <c r="E229" i="38"/>
  <c r="E234" i="38"/>
  <c r="E240" i="38"/>
  <c r="E246" i="38"/>
  <c r="E252" i="38"/>
  <c r="E222" i="38"/>
  <c r="E233" i="38"/>
  <c r="E236" i="38"/>
  <c r="E226" i="38"/>
  <c r="E219" i="38"/>
  <c r="I156" i="38"/>
  <c r="G156" i="38" s="1"/>
  <c r="H156" i="38" s="1"/>
  <c r="I155" i="38"/>
  <c r="G155" i="38" s="1"/>
  <c r="H155" i="38" s="1"/>
  <c r="F155" i="38"/>
  <c r="E155" i="38"/>
  <c r="I149" i="38"/>
  <c r="G149" i="38" s="1"/>
  <c r="H149" i="38" s="1"/>
  <c r="I187" i="38"/>
  <c r="G187" i="38" s="1"/>
  <c r="H187" i="38" s="1"/>
  <c r="I142" i="38"/>
  <c r="G142" i="38" s="1"/>
  <c r="H142" i="38" s="1"/>
  <c r="I126" i="38"/>
  <c r="G126" i="38" s="1"/>
  <c r="H126" i="38" s="1"/>
  <c r="I114" i="38"/>
  <c r="G114" i="38" s="1"/>
  <c r="H114" i="38" s="1"/>
  <c r="I103" i="38"/>
  <c r="G103" i="38" s="1"/>
  <c r="H103" i="38" s="1"/>
  <c r="I95" i="38"/>
  <c r="G95" i="38" s="1"/>
  <c r="H95" i="38" s="1"/>
  <c r="I85" i="38"/>
  <c r="G85" i="38" s="1"/>
  <c r="H85" i="38" s="1"/>
  <c r="I72" i="38"/>
  <c r="G72" i="38" s="1"/>
  <c r="H72" i="38" s="1"/>
  <c r="I65" i="38"/>
  <c r="G65" i="38" s="1"/>
  <c r="I53" i="38"/>
  <c r="I217" i="38" l="1"/>
  <c r="G217" i="38" s="1"/>
  <c r="H217" i="38" s="1"/>
  <c r="I212" i="38"/>
  <c r="G212" i="38" s="1"/>
  <c r="H212" i="38" s="1"/>
  <c r="I206" i="38"/>
  <c r="G206" i="38" s="1"/>
  <c r="H206" i="38" s="1"/>
  <c r="I200" i="38"/>
  <c r="G200" i="38" s="1"/>
  <c r="H200" i="38" s="1"/>
  <c r="I194" i="38"/>
  <c r="G194" i="38" s="1"/>
  <c r="H194" i="38" s="1"/>
  <c r="I188" i="38"/>
  <c r="G188" i="38" s="1"/>
  <c r="H188" i="38" s="1"/>
  <c r="I177" i="38"/>
  <c r="G177" i="38" s="1"/>
  <c r="H177" i="38" s="1"/>
  <c r="I176" i="38"/>
  <c r="G176" i="38" s="1"/>
  <c r="H176" i="38" s="1"/>
  <c r="I166" i="38"/>
  <c r="G166" i="38" s="1"/>
  <c r="H166" i="38" s="1"/>
  <c r="I163" i="38"/>
  <c r="G163" i="38" s="1"/>
  <c r="H163" i="38" s="1"/>
  <c r="I160" i="38"/>
  <c r="G160" i="38" s="1"/>
  <c r="H160" i="38" s="1"/>
  <c r="I143" i="38"/>
  <c r="G143" i="38" s="1"/>
  <c r="H143" i="38" s="1"/>
  <c r="I131" i="38"/>
  <c r="G131" i="38" s="1"/>
  <c r="H131" i="38" s="1"/>
  <c r="I127" i="38"/>
  <c r="G127" i="38" s="1"/>
  <c r="H127" i="38" s="1"/>
  <c r="I121" i="38"/>
  <c r="G121" i="38" s="1"/>
  <c r="H121" i="38" s="1"/>
  <c r="I115" i="38"/>
  <c r="G115" i="38" s="1"/>
  <c r="H115" i="38" s="1"/>
  <c r="I104" i="38"/>
  <c r="G104" i="38" s="1"/>
  <c r="H104" i="38" s="1"/>
  <c r="I96" i="38"/>
  <c r="G96" i="38" s="1"/>
  <c r="H96" i="38" s="1"/>
  <c r="I86" i="38"/>
  <c r="G86" i="38" s="1"/>
  <c r="H86" i="38" s="1"/>
  <c r="I80" i="38"/>
  <c r="G80" i="38" s="1"/>
  <c r="H80" i="38" s="1"/>
  <c r="I79" i="38"/>
  <c r="G79" i="38" s="1"/>
  <c r="H79" i="38" s="1"/>
  <c r="I78" i="38"/>
  <c r="G78" i="38" s="1"/>
  <c r="H78" i="38" s="1"/>
  <c r="I73" i="38"/>
  <c r="G73" i="38" s="1"/>
  <c r="H73" i="38" s="1"/>
  <c r="I66" i="38"/>
  <c r="G66" i="38" s="1"/>
  <c r="H66" i="38" s="1"/>
  <c r="I54" i="38"/>
  <c r="I42" i="38"/>
  <c r="G42" i="38" s="1"/>
  <c r="H42" i="38" s="1"/>
  <c r="I33" i="38"/>
  <c r="G33" i="38" s="1"/>
  <c r="H33" i="38" s="1"/>
  <c r="I24" i="38"/>
  <c r="G24" i="38" s="1"/>
  <c r="H24" i="38" s="1"/>
  <c r="I216" i="38"/>
  <c r="G216" i="38" s="1"/>
  <c r="H216" i="38" s="1"/>
  <c r="I211" i="38"/>
  <c r="G211" i="38" s="1"/>
  <c r="H211" i="38" s="1"/>
  <c r="I205" i="38"/>
  <c r="G205" i="38" s="1"/>
  <c r="H205" i="38" s="1"/>
  <c r="I199" i="38"/>
  <c r="G199" i="38" s="1"/>
  <c r="H199" i="38" s="1"/>
  <c r="I193" i="38"/>
  <c r="G193" i="38" s="1"/>
  <c r="H193" i="38" s="1"/>
  <c r="I186" i="38"/>
  <c r="G186" i="38" s="1"/>
  <c r="H186" i="38" s="1"/>
  <c r="I175" i="38"/>
  <c r="G175" i="38" s="1"/>
  <c r="H175" i="38" s="1"/>
  <c r="I165" i="38"/>
  <c r="G165" i="38" s="1"/>
  <c r="H165" i="38" s="1"/>
  <c r="I162" i="38"/>
  <c r="G162" i="38" s="1"/>
  <c r="H162" i="38" s="1"/>
  <c r="I159" i="38"/>
  <c r="G159" i="38" s="1"/>
  <c r="H159" i="38" s="1"/>
  <c r="I148" i="38"/>
  <c r="G148" i="38" s="1"/>
  <c r="H148" i="38" s="1"/>
  <c r="I141" i="38"/>
  <c r="G141" i="38" s="1"/>
  <c r="H141" i="38" s="1"/>
  <c r="I130" i="38"/>
  <c r="G130" i="38" s="1"/>
  <c r="H130" i="38" s="1"/>
  <c r="I125" i="38"/>
  <c r="G125" i="38" s="1"/>
  <c r="H125" i="38" s="1"/>
  <c r="I120" i="38"/>
  <c r="G120" i="38" s="1"/>
  <c r="H120" i="38" s="1"/>
  <c r="I113" i="38"/>
  <c r="G113" i="38" s="1"/>
  <c r="H113" i="38" s="1"/>
  <c r="I102" i="38"/>
  <c r="G102" i="38" s="1"/>
  <c r="H102" i="38" s="1"/>
  <c r="I94" i="38"/>
  <c r="G94" i="38" s="1"/>
  <c r="H94" i="38" s="1"/>
  <c r="I84" i="38"/>
  <c r="G84" i="38" s="1"/>
  <c r="I77" i="38"/>
  <c r="G77" i="38" s="1"/>
  <c r="I71" i="38"/>
  <c r="G71" i="38" s="1"/>
  <c r="I64" i="38"/>
  <c r="G64" i="38" s="1"/>
  <c r="I52" i="38"/>
  <c r="G52" i="38" s="1"/>
  <c r="I41" i="38"/>
  <c r="G41" i="38" s="1"/>
  <c r="I32" i="38"/>
  <c r="G32" i="38" s="1"/>
  <c r="H32" i="38" s="1"/>
  <c r="I23" i="38"/>
  <c r="G23" i="38" s="1"/>
  <c r="H23" i="38" s="1"/>
  <c r="I14" i="38"/>
  <c r="G14" i="38" s="1"/>
  <c r="K3" i="38"/>
  <c r="K4" i="38"/>
  <c r="K5" i="38"/>
  <c r="K6" i="38"/>
  <c r="K7" i="38"/>
  <c r="K8" i="38"/>
  <c r="K9" i="38"/>
  <c r="K10" i="38"/>
  <c r="K11" i="38"/>
  <c r="K12" i="38"/>
  <c r="K13" i="38"/>
  <c r="K14" i="38"/>
  <c r="K15" i="38"/>
  <c r="K16" i="38"/>
  <c r="K17" i="38"/>
  <c r="K18" i="38"/>
  <c r="K19" i="38"/>
  <c r="K20" i="38"/>
  <c r="K21" i="38"/>
  <c r="K22" i="38"/>
  <c r="K23" i="38"/>
  <c r="K24" i="38"/>
  <c r="K25" i="38"/>
  <c r="K26" i="38"/>
  <c r="K27" i="38"/>
  <c r="K28" i="38"/>
  <c r="K29" i="38"/>
  <c r="K30" i="38"/>
  <c r="K31" i="38"/>
  <c r="K32" i="38"/>
  <c r="K33" i="38"/>
  <c r="K34" i="38"/>
  <c r="K35" i="38"/>
  <c r="K36" i="38"/>
  <c r="K37" i="38"/>
  <c r="K38" i="38"/>
  <c r="K39" i="38"/>
  <c r="K40" i="38"/>
  <c r="K41" i="38"/>
  <c r="K42" i="38"/>
  <c r="K43" i="38"/>
  <c r="K44" i="38"/>
  <c r="K45" i="38"/>
  <c r="K46" i="38"/>
  <c r="K47" i="38"/>
  <c r="K48" i="38"/>
  <c r="K49" i="38"/>
  <c r="K50" i="38"/>
  <c r="K51" i="38"/>
  <c r="K52" i="38"/>
  <c r="K54" i="38"/>
  <c r="K55" i="38"/>
  <c r="K56" i="38"/>
  <c r="K57" i="38"/>
  <c r="K58" i="38"/>
  <c r="K59" i="38"/>
  <c r="K60" i="38"/>
  <c r="K61" i="38"/>
  <c r="K62" i="38"/>
  <c r="K63" i="38"/>
  <c r="K64" i="38"/>
  <c r="K66" i="38"/>
  <c r="K67" i="38"/>
  <c r="K68" i="38"/>
  <c r="K69" i="38"/>
  <c r="K70" i="38"/>
  <c r="K71" i="38"/>
  <c r="K73" i="38"/>
  <c r="K74" i="38"/>
  <c r="K75" i="38"/>
  <c r="K76" i="38"/>
  <c r="K77" i="38"/>
  <c r="K78" i="38"/>
  <c r="K79" i="38"/>
  <c r="K80" i="38"/>
  <c r="K81" i="38"/>
  <c r="K82" i="38"/>
  <c r="K83" i="38"/>
  <c r="K84" i="38"/>
  <c r="K86" i="38"/>
  <c r="K87" i="38"/>
  <c r="K88" i="38"/>
  <c r="K89" i="38"/>
  <c r="K90" i="38"/>
  <c r="K91" i="38"/>
  <c r="K92" i="38"/>
  <c r="K93" i="38"/>
  <c r="K94" i="38"/>
  <c r="K96" i="38"/>
  <c r="K97" i="38"/>
  <c r="K98" i="38"/>
  <c r="K99" i="38"/>
  <c r="K100" i="38"/>
  <c r="K101" i="38"/>
  <c r="K102" i="38"/>
  <c r="K104" i="38"/>
  <c r="K105" i="38"/>
  <c r="K106" i="38"/>
  <c r="K107" i="38"/>
  <c r="K108" i="38"/>
  <c r="K109" i="38"/>
  <c r="K110" i="38"/>
  <c r="K111" i="38"/>
  <c r="K112" i="38"/>
  <c r="K113" i="38"/>
  <c r="K115" i="38"/>
  <c r="K116" i="38"/>
  <c r="K117" i="38"/>
  <c r="K118" i="38"/>
  <c r="K119" i="38"/>
  <c r="K120" i="38"/>
  <c r="K121" i="38"/>
  <c r="K122" i="38"/>
  <c r="K123" i="38"/>
  <c r="K124" i="38"/>
  <c r="K125" i="38"/>
  <c r="K127" i="38"/>
  <c r="K128" i="38"/>
  <c r="K129" i="38"/>
  <c r="K130" i="38"/>
  <c r="K131" i="38"/>
  <c r="K132" i="38"/>
  <c r="K133" i="38"/>
  <c r="K134" i="38"/>
  <c r="K135" i="38"/>
  <c r="K136" i="38"/>
  <c r="K137" i="38"/>
  <c r="K138" i="38"/>
  <c r="K139" i="38"/>
  <c r="K140" i="38"/>
  <c r="K141" i="38"/>
  <c r="K143" i="38"/>
  <c r="K144" i="38"/>
  <c r="K145" i="38"/>
  <c r="K146" i="38"/>
  <c r="K147" i="38"/>
  <c r="K148" i="38"/>
  <c r="K150" i="38"/>
  <c r="K151" i="38"/>
  <c r="K152" i="38"/>
  <c r="K153" i="38"/>
  <c r="K154" i="38"/>
  <c r="K155" i="38"/>
  <c r="K157" i="38"/>
  <c r="K158" i="38"/>
  <c r="K159" i="38"/>
  <c r="K160" i="38"/>
  <c r="K161" i="38"/>
  <c r="K162" i="38"/>
  <c r="K163" i="38"/>
  <c r="K164" i="38"/>
  <c r="K165" i="38"/>
  <c r="K166" i="38"/>
  <c r="K167" i="38"/>
  <c r="K168" i="38"/>
  <c r="K169" i="38"/>
  <c r="K170" i="38"/>
  <c r="K171" i="38"/>
  <c r="K172" i="38"/>
  <c r="K173" i="38"/>
  <c r="K174" i="38"/>
  <c r="K175" i="38"/>
  <c r="K176" i="38"/>
  <c r="K177" i="38"/>
  <c r="K178" i="38"/>
  <c r="K179" i="38"/>
  <c r="K180" i="38"/>
  <c r="K181" i="38"/>
  <c r="K182" i="38"/>
  <c r="K183" i="38"/>
  <c r="K184" i="38"/>
  <c r="K185" i="38"/>
  <c r="K186" i="38"/>
  <c r="K188" i="38"/>
  <c r="K189" i="38"/>
  <c r="K190" i="38"/>
  <c r="K191" i="38"/>
  <c r="K192" i="38"/>
  <c r="K193" i="38"/>
  <c r="K194" i="38"/>
  <c r="K195" i="38"/>
  <c r="K196" i="38"/>
  <c r="K197" i="38"/>
  <c r="K198" i="38"/>
  <c r="K199" i="38"/>
  <c r="K200" i="38"/>
  <c r="K201" i="38"/>
  <c r="K202" i="38"/>
  <c r="K203" i="38"/>
  <c r="K204" i="38"/>
  <c r="K205" i="38"/>
  <c r="K206" i="38"/>
  <c r="K207" i="38"/>
  <c r="K208" i="38"/>
  <c r="K209" i="38"/>
  <c r="K210" i="38"/>
  <c r="K211" i="38"/>
  <c r="K212" i="38"/>
  <c r="K213" i="38"/>
  <c r="K214" i="38"/>
  <c r="K215" i="38"/>
  <c r="K216" i="38"/>
  <c r="K217" i="38"/>
  <c r="K218" i="38"/>
  <c r="K221" i="38"/>
  <c r="K224" i="38"/>
  <c r="K227" i="38"/>
  <c r="K228" i="38"/>
  <c r="K230" i="38"/>
  <c r="K233" i="38"/>
  <c r="K236" i="38"/>
  <c r="K239" i="38"/>
  <c r="K242" i="38"/>
  <c r="K245" i="38"/>
  <c r="K248" i="38"/>
  <c r="K251" i="38"/>
  <c r="K254" i="38"/>
  <c r="K259" i="38"/>
  <c r="K260" i="38"/>
  <c r="K261" i="38"/>
  <c r="K263" i="38"/>
  <c r="K264" i="38"/>
  <c r="E3" i="38"/>
  <c r="F3" i="38"/>
  <c r="E4" i="38"/>
  <c r="F4" i="38"/>
  <c r="E5" i="38"/>
  <c r="F5" i="38"/>
  <c r="E6" i="38"/>
  <c r="F6" i="38"/>
  <c r="E7" i="38"/>
  <c r="F7" i="38"/>
  <c r="F8" i="38"/>
  <c r="E9" i="38"/>
  <c r="F9" i="38"/>
  <c r="E10" i="38"/>
  <c r="F10" i="38"/>
  <c r="E11" i="38"/>
  <c r="F11" i="38"/>
  <c r="E12" i="38"/>
  <c r="F12" i="38"/>
  <c r="F13" i="38"/>
  <c r="E14" i="38"/>
  <c r="F14" i="38"/>
  <c r="E15" i="38"/>
  <c r="F15" i="38"/>
  <c r="E16" i="38"/>
  <c r="F16" i="38"/>
  <c r="E17" i="38"/>
  <c r="F17" i="38"/>
  <c r="E18" i="38"/>
  <c r="F18" i="38"/>
  <c r="E19" i="38"/>
  <c r="F19" i="38"/>
  <c r="E20" i="38"/>
  <c r="F20" i="38"/>
  <c r="E21" i="38"/>
  <c r="F21" i="38"/>
  <c r="E22" i="38"/>
  <c r="F22" i="38"/>
  <c r="E23" i="38"/>
  <c r="F23" i="38"/>
  <c r="E24" i="38"/>
  <c r="F24" i="38"/>
  <c r="E25" i="38"/>
  <c r="F25" i="38"/>
  <c r="E26" i="38"/>
  <c r="F26" i="38"/>
  <c r="E27" i="38"/>
  <c r="F27" i="38"/>
  <c r="E28" i="38"/>
  <c r="F28" i="38"/>
  <c r="E29" i="38"/>
  <c r="F29" i="38"/>
  <c r="E30" i="38"/>
  <c r="F30" i="38"/>
  <c r="E31" i="38"/>
  <c r="F31" i="38"/>
  <c r="E32" i="38"/>
  <c r="F32" i="38"/>
  <c r="F33" i="38"/>
  <c r="E34" i="38"/>
  <c r="F34" i="38"/>
  <c r="E35" i="38"/>
  <c r="F35" i="38"/>
  <c r="E36" i="38"/>
  <c r="F36" i="38"/>
  <c r="E37" i="38"/>
  <c r="F37" i="38"/>
  <c r="E38" i="38"/>
  <c r="F38" i="38"/>
  <c r="F39" i="38"/>
  <c r="E40" i="38"/>
  <c r="F40" i="38"/>
  <c r="E41" i="38"/>
  <c r="F41" i="38"/>
  <c r="E42" i="38"/>
  <c r="F42" i="38"/>
  <c r="E43" i="38"/>
  <c r="F43" i="38"/>
  <c r="E44" i="38"/>
  <c r="F44" i="38"/>
  <c r="E45" i="38"/>
  <c r="F45" i="38"/>
  <c r="E46" i="38"/>
  <c r="F46" i="38"/>
  <c r="E47" i="38"/>
  <c r="F47" i="38"/>
  <c r="F48" i="38"/>
  <c r="E49" i="38"/>
  <c r="F49" i="38"/>
  <c r="E50" i="38"/>
  <c r="F50" i="38"/>
  <c r="E51" i="38"/>
  <c r="F51" i="38"/>
  <c r="E52" i="38"/>
  <c r="F52" i="38"/>
  <c r="E54" i="38"/>
  <c r="F54" i="38"/>
  <c r="E55" i="38"/>
  <c r="F55" i="38"/>
  <c r="E56" i="38"/>
  <c r="F56" i="38"/>
  <c r="E57" i="38"/>
  <c r="F57" i="38"/>
  <c r="E58" i="38"/>
  <c r="F58" i="38"/>
  <c r="E59" i="38"/>
  <c r="F59" i="38"/>
  <c r="F60" i="38"/>
  <c r="E61" i="38"/>
  <c r="F61" i="38"/>
  <c r="E62" i="38"/>
  <c r="F62" i="38"/>
  <c r="E63" i="38"/>
  <c r="F63" i="38"/>
  <c r="E64" i="38"/>
  <c r="F64" i="38"/>
  <c r="E66" i="38"/>
  <c r="F66" i="38"/>
  <c r="F67" i="38"/>
  <c r="E68" i="38"/>
  <c r="F68" i="38"/>
  <c r="E69" i="38"/>
  <c r="F69" i="38"/>
  <c r="E70" i="38"/>
  <c r="F70" i="38"/>
  <c r="E71" i="38"/>
  <c r="F71" i="38"/>
  <c r="E73" i="38"/>
  <c r="F73" i="38"/>
  <c r="E74" i="38"/>
  <c r="F74" i="38"/>
  <c r="E75" i="38"/>
  <c r="F75" i="38"/>
  <c r="E76" i="38"/>
  <c r="F76" i="38"/>
  <c r="E77" i="38"/>
  <c r="F77" i="38"/>
  <c r="E78" i="38"/>
  <c r="F78" i="38"/>
  <c r="E79" i="38"/>
  <c r="F79" i="38"/>
  <c r="E80" i="38"/>
  <c r="F80" i="38"/>
  <c r="E81" i="38"/>
  <c r="F81" i="38"/>
  <c r="E82" i="38"/>
  <c r="F82" i="38"/>
  <c r="E83" i="38"/>
  <c r="F83" i="38"/>
  <c r="E84" i="38"/>
  <c r="F84" i="38"/>
  <c r="E86" i="38"/>
  <c r="F86" i="38"/>
  <c r="E87" i="38"/>
  <c r="F87" i="38"/>
  <c r="E88" i="38"/>
  <c r="F88" i="38"/>
  <c r="E89" i="38"/>
  <c r="F89" i="38"/>
  <c r="E90" i="38"/>
  <c r="F90" i="38"/>
  <c r="E91" i="38"/>
  <c r="F91" i="38"/>
  <c r="E92" i="38"/>
  <c r="F92" i="38"/>
  <c r="E93" i="38"/>
  <c r="F93" i="38"/>
  <c r="E94" i="38"/>
  <c r="F94" i="38"/>
  <c r="E96" i="38"/>
  <c r="F96" i="38"/>
  <c r="E97" i="38"/>
  <c r="F97" i="38"/>
  <c r="E98" i="38"/>
  <c r="F98" i="38"/>
  <c r="E99" i="38"/>
  <c r="F99" i="38"/>
  <c r="E100" i="38"/>
  <c r="F100" i="38"/>
  <c r="E101" i="38"/>
  <c r="F101" i="38"/>
  <c r="E102" i="38"/>
  <c r="F102" i="38"/>
  <c r="E104" i="38"/>
  <c r="F104" i="38"/>
  <c r="E105" i="38"/>
  <c r="F105" i="38"/>
  <c r="E106" i="38"/>
  <c r="F106" i="38"/>
  <c r="E107" i="38"/>
  <c r="F107" i="38"/>
  <c r="E108" i="38"/>
  <c r="F108" i="38"/>
  <c r="E109" i="38"/>
  <c r="F109" i="38"/>
  <c r="E110" i="38"/>
  <c r="F110" i="38"/>
  <c r="E111" i="38"/>
  <c r="F111" i="38"/>
  <c r="E112" i="38"/>
  <c r="F112" i="38"/>
  <c r="E113" i="38"/>
  <c r="F113" i="38"/>
  <c r="E115" i="38"/>
  <c r="F115" i="38"/>
  <c r="E116" i="38"/>
  <c r="F116" i="38"/>
  <c r="E117" i="38"/>
  <c r="F117" i="38"/>
  <c r="E118" i="38"/>
  <c r="F118" i="38"/>
  <c r="E119" i="38"/>
  <c r="F119" i="38"/>
  <c r="E120" i="38"/>
  <c r="F120" i="38"/>
  <c r="E121" i="38"/>
  <c r="F121" i="38"/>
  <c r="E122" i="38"/>
  <c r="F122" i="38"/>
  <c r="E123" i="38"/>
  <c r="F123" i="38"/>
  <c r="E124" i="38"/>
  <c r="F124" i="38"/>
  <c r="E125" i="38"/>
  <c r="F125" i="38"/>
  <c r="E127" i="38"/>
  <c r="F127" i="38"/>
  <c r="E128" i="38"/>
  <c r="F128" i="38"/>
  <c r="E129" i="38"/>
  <c r="F129" i="38"/>
  <c r="E130" i="38"/>
  <c r="F130" i="38"/>
  <c r="E131" i="38"/>
  <c r="F131" i="38"/>
  <c r="E132" i="38"/>
  <c r="F132" i="38"/>
  <c r="E133" i="38"/>
  <c r="F133" i="38"/>
  <c r="E134" i="38"/>
  <c r="F134" i="38"/>
  <c r="E135" i="38"/>
  <c r="F135" i="38"/>
  <c r="E136" i="38"/>
  <c r="F136" i="38"/>
  <c r="E137" i="38"/>
  <c r="F137" i="38"/>
  <c r="E138" i="38"/>
  <c r="F138" i="38"/>
  <c r="E139" i="38"/>
  <c r="F139" i="38"/>
  <c r="E140" i="38"/>
  <c r="F140" i="38"/>
  <c r="E141" i="38"/>
  <c r="F141" i="38"/>
  <c r="E143" i="38"/>
  <c r="F143" i="38"/>
  <c r="E144" i="38"/>
  <c r="F144" i="38"/>
  <c r="E145" i="38"/>
  <c r="F145" i="38"/>
  <c r="E146" i="38"/>
  <c r="F146" i="38"/>
  <c r="E147" i="38"/>
  <c r="F147" i="38"/>
  <c r="E148" i="38"/>
  <c r="F148" i="38"/>
  <c r="E150" i="38"/>
  <c r="F150" i="38"/>
  <c r="E151" i="38"/>
  <c r="F151" i="38"/>
  <c r="E152" i="38"/>
  <c r="F152" i="38"/>
  <c r="E153" i="38"/>
  <c r="F153" i="38"/>
  <c r="E154" i="38"/>
  <c r="F154" i="38"/>
  <c r="E157" i="38"/>
  <c r="F157" i="38"/>
  <c r="E158" i="38"/>
  <c r="F158" i="38"/>
  <c r="E159" i="38"/>
  <c r="F159" i="38"/>
  <c r="E160" i="38"/>
  <c r="F160" i="38"/>
  <c r="E161" i="38"/>
  <c r="F161" i="38"/>
  <c r="E162" i="38"/>
  <c r="F162" i="38"/>
  <c r="E163" i="38"/>
  <c r="F163" i="38"/>
  <c r="E164" i="38"/>
  <c r="F164" i="38"/>
  <c r="E165" i="38"/>
  <c r="F165" i="38"/>
  <c r="E166" i="38"/>
  <c r="F166" i="38"/>
  <c r="E167" i="38"/>
  <c r="F167" i="38"/>
  <c r="E168" i="38"/>
  <c r="F168" i="38"/>
  <c r="E169" i="38"/>
  <c r="F169" i="38"/>
  <c r="E170" i="38"/>
  <c r="F170" i="38"/>
  <c r="E171" i="38"/>
  <c r="F171" i="38"/>
  <c r="E172" i="38"/>
  <c r="F172" i="38"/>
  <c r="E173" i="38"/>
  <c r="F173" i="38"/>
  <c r="E174" i="38"/>
  <c r="F174" i="38"/>
  <c r="E175" i="38"/>
  <c r="F175" i="38"/>
  <c r="E176" i="38"/>
  <c r="F176" i="38"/>
  <c r="E177" i="38"/>
  <c r="F177" i="38"/>
  <c r="E178" i="38"/>
  <c r="F178" i="38"/>
  <c r="E179" i="38"/>
  <c r="F179" i="38"/>
  <c r="E180" i="38"/>
  <c r="F180" i="38"/>
  <c r="E181" i="38"/>
  <c r="F181" i="38"/>
  <c r="E182" i="38"/>
  <c r="F182" i="38"/>
  <c r="E183" i="38"/>
  <c r="F183" i="38"/>
  <c r="E184" i="38"/>
  <c r="F184" i="38"/>
  <c r="E185" i="38"/>
  <c r="F185" i="38"/>
  <c r="E186" i="38"/>
  <c r="F186" i="38"/>
  <c r="E188" i="38"/>
  <c r="F188" i="38"/>
  <c r="E189" i="38"/>
  <c r="F189" i="38"/>
  <c r="E190" i="38"/>
  <c r="F190" i="38"/>
  <c r="E191" i="38"/>
  <c r="F191" i="38"/>
  <c r="E192" i="38"/>
  <c r="F192" i="38"/>
  <c r="E193" i="38"/>
  <c r="F193" i="38"/>
  <c r="E194" i="38"/>
  <c r="F194" i="38"/>
  <c r="E195" i="38"/>
  <c r="F195" i="38"/>
  <c r="E196" i="38"/>
  <c r="F196" i="38"/>
  <c r="E197" i="38"/>
  <c r="F197" i="38"/>
  <c r="E198" i="38"/>
  <c r="F198" i="38"/>
  <c r="E199" i="38"/>
  <c r="F199" i="38"/>
  <c r="E200" i="38"/>
  <c r="F200" i="38"/>
  <c r="E201" i="38"/>
  <c r="F201" i="38"/>
  <c r="E202" i="38"/>
  <c r="F202" i="38"/>
  <c r="E203" i="38"/>
  <c r="F203" i="38"/>
  <c r="E204" i="38"/>
  <c r="F204" i="38"/>
  <c r="E205" i="38"/>
  <c r="F205" i="38"/>
  <c r="E206" i="38"/>
  <c r="F206" i="38"/>
  <c r="E207" i="38"/>
  <c r="F207" i="38"/>
  <c r="E208" i="38"/>
  <c r="F208" i="38"/>
  <c r="E209" i="38"/>
  <c r="F209" i="38"/>
  <c r="E210" i="38"/>
  <c r="F210" i="38"/>
  <c r="E211" i="38"/>
  <c r="F211" i="38"/>
  <c r="E212" i="38"/>
  <c r="F212" i="38"/>
  <c r="E213" i="38"/>
  <c r="F213" i="38"/>
  <c r="E214" i="38"/>
  <c r="F214" i="38"/>
  <c r="E215" i="38"/>
  <c r="F215" i="38"/>
  <c r="E216" i="38"/>
  <c r="F216" i="38"/>
  <c r="E217" i="38"/>
  <c r="F217" i="38"/>
  <c r="E218" i="38"/>
  <c r="F218" i="38"/>
  <c r="F221" i="38"/>
  <c r="F224" i="38"/>
  <c r="F227" i="38"/>
  <c r="F228" i="38"/>
  <c r="F230" i="38"/>
  <c r="F254" i="38"/>
  <c r="F259" i="38"/>
  <c r="F260" i="38"/>
  <c r="F261" i="38"/>
  <c r="F263" i="38"/>
  <c r="F264" i="38"/>
  <c r="K2" i="38"/>
  <c r="F2" i="38"/>
  <c r="E2" i="38"/>
  <c r="Z34" i="38" l="1"/>
  <c r="H41" i="38"/>
  <c r="Z74" i="38"/>
  <c r="H77" i="38"/>
  <c r="Z2" i="38"/>
  <c r="H14" i="38"/>
  <c r="H52" i="38"/>
  <c r="Z81" i="38"/>
  <c r="H84" i="38"/>
  <c r="Z55" i="38"/>
  <c r="H64" i="38"/>
  <c r="Z67" i="38"/>
  <c r="H71" i="38"/>
  <c r="G53" i="38"/>
  <c r="H53" i="38" s="1"/>
  <c r="G54" i="38"/>
  <c r="H54" i="38" s="1"/>
  <c r="Z43" i="38" l="1"/>
  <c r="G18" i="38" l="1"/>
  <c r="H18" i="38" s="1"/>
  <c r="G19" i="38"/>
  <c r="H19" i="38" s="1"/>
  <c r="G20" i="38"/>
  <c r="H20" i="38" s="1"/>
  <c r="G17" i="38"/>
  <c r="H17" i="38" s="1"/>
  <c r="B60" i="24" l="1"/>
  <c r="B59" i="24"/>
  <c r="B58" i="24"/>
  <c r="B57" i="24"/>
  <c r="B56" i="24"/>
  <c r="B55" i="24"/>
  <c r="B53" i="24"/>
  <c r="G260" i="38" l="1"/>
  <c r="H260" i="38" s="1"/>
  <c r="G261" i="38"/>
  <c r="H261" i="38" s="1"/>
  <c r="G259" i="38" l="1"/>
  <c r="H259" i="38" s="1"/>
  <c r="C5" i="41"/>
  <c r="C3" i="41" s="1"/>
  <c r="F54" i="39"/>
  <c r="D54" i="39"/>
  <c r="F52" i="39"/>
  <c r="D52" i="39"/>
  <c r="F50" i="39"/>
  <c r="D50" i="39"/>
  <c r="F48" i="39"/>
  <c r="D48" i="39"/>
  <c r="F46" i="39"/>
  <c r="D46" i="39"/>
  <c r="F44" i="39"/>
  <c r="F57" i="39" s="1"/>
  <c r="D44" i="39"/>
  <c r="E42" i="39"/>
  <c r="E57" i="39" s="1"/>
  <c r="F41" i="39"/>
  <c r="D41" i="39"/>
  <c r="F40" i="39"/>
  <c r="D40" i="39"/>
  <c r="F38" i="39"/>
  <c r="F37" i="39"/>
  <c r="F35" i="39"/>
  <c r="D35" i="39"/>
  <c r="F33" i="39"/>
  <c r="D33" i="39"/>
  <c r="F31" i="39"/>
  <c r="D31" i="39"/>
  <c r="F29" i="39"/>
  <c r="D29" i="39"/>
  <c r="F25" i="39"/>
  <c r="D25" i="39"/>
  <c r="F21" i="39"/>
  <c r="D21" i="39"/>
  <c r="D57" i="39" s="1"/>
  <c r="F19" i="39"/>
  <c r="F18" i="39"/>
  <c r="F17" i="39"/>
  <c r="F15" i="39"/>
  <c r="F13" i="39"/>
  <c r="F11" i="39"/>
  <c r="F10" i="39"/>
  <c r="F8" i="39"/>
  <c r="F6" i="39"/>
  <c r="F4" i="39"/>
  <c r="F28" i="31" l="1"/>
  <c r="F27" i="31"/>
  <c r="F19" i="31"/>
  <c r="F29" i="31"/>
  <c r="F23" i="31"/>
  <c r="F34" i="31"/>
  <c r="F21" i="31"/>
  <c r="I5" i="31"/>
  <c r="I4" i="31" s="1"/>
  <c r="H5" i="31"/>
  <c r="H4" i="31" s="1"/>
  <c r="F17" i="31"/>
  <c r="I4" i="21"/>
  <c r="I3" i="21" s="1"/>
  <c r="H4" i="21"/>
  <c r="H3" i="21" s="1"/>
  <c r="F18" i="21"/>
  <c r="F4" i="21" s="1"/>
  <c r="I4" i="17"/>
  <c r="I3" i="17" s="1"/>
  <c r="H4" i="17"/>
  <c r="H3" i="17" s="1"/>
  <c r="F19" i="17"/>
  <c r="I4" i="5"/>
  <c r="H4" i="8"/>
  <c r="F16" i="11"/>
  <c r="F18" i="17"/>
  <c r="F16" i="17"/>
  <c r="F17" i="17"/>
  <c r="H4" i="16"/>
  <c r="H3" i="16" s="1"/>
  <c r="I4" i="16"/>
  <c r="I3" i="16" s="1"/>
  <c r="F14" i="16"/>
  <c r="F4" i="16" s="1"/>
  <c r="F3" i="16" s="1"/>
  <c r="H4" i="12"/>
  <c r="H3" i="12" s="1"/>
  <c r="I4" i="12"/>
  <c r="F11" i="12"/>
  <c r="F4" i="12" s="1"/>
  <c r="F3" i="12" s="1"/>
  <c r="F24" i="11"/>
  <c r="F20" i="11"/>
  <c r="F19" i="11"/>
  <c r="F17" i="11"/>
  <c r="I4" i="11"/>
  <c r="H4" i="11"/>
  <c r="F18" i="10"/>
  <c r="H5" i="10"/>
  <c r="H4" i="10"/>
  <c r="H3" i="10" s="1"/>
  <c r="F19" i="10"/>
  <c r="F24" i="10"/>
  <c r="F5" i="10" s="1"/>
  <c r="F17" i="8"/>
  <c r="F5" i="8" s="1"/>
  <c r="F14" i="8"/>
  <c r="F4" i="8" s="1"/>
  <c r="F81" i="5"/>
  <c r="F80" i="5"/>
  <c r="F79" i="5"/>
  <c r="F78" i="5"/>
  <c r="F77" i="5"/>
  <c r="F76" i="5"/>
  <c r="E4" i="5"/>
  <c r="F23" i="5"/>
  <c r="F24" i="5"/>
  <c r="F22" i="5"/>
  <c r="F21" i="5"/>
  <c r="F20" i="5"/>
  <c r="F19" i="5"/>
  <c r="F43" i="5"/>
  <c r="F49" i="5"/>
  <c r="F48" i="5"/>
  <c r="F47" i="5"/>
  <c r="F42" i="5"/>
  <c r="I5" i="10"/>
  <c r="I4" i="10"/>
  <c r="I3" i="10" s="1"/>
  <c r="H5" i="8"/>
  <c r="I5" i="8"/>
  <c r="I4" i="8"/>
  <c r="F4" i="17" l="1"/>
  <c r="F3" i="17" s="1"/>
  <c r="F5" i="5"/>
  <c r="F4" i="5"/>
  <c r="F3" i="5" s="1"/>
  <c r="F3" i="8"/>
  <c r="F4" i="10"/>
  <c r="F3" i="10" s="1"/>
  <c r="F5" i="31"/>
  <c r="F4" i="31" s="1"/>
  <c r="F3" i="21"/>
  <c r="F4" i="11"/>
  <c r="F3" i="11" s="1"/>
  <c r="I3" i="12"/>
  <c r="I3" i="11"/>
  <c r="H3" i="11"/>
  <c r="H3" i="8"/>
  <c r="I3" i="8"/>
  <c r="I5" i="5" l="1"/>
  <c r="I3" i="5"/>
  <c r="H5" i="5"/>
  <c r="H4" i="5"/>
  <c r="H3" i="5" l="1"/>
  <c r="E9" i="10"/>
  <c r="E10" i="10"/>
  <c r="B44" i="24" l="1"/>
  <c r="CK18" i="24"/>
  <c r="CK48" i="24"/>
  <c r="CK42" i="24"/>
  <c r="CK40" i="24"/>
  <c r="CH18" i="24"/>
  <c r="CH48" i="24"/>
  <c r="CH42" i="24"/>
  <c r="CH40" i="24"/>
  <c r="CH39" i="24"/>
  <c r="CE18" i="24"/>
  <c r="CE48" i="24"/>
  <c r="CE42" i="24"/>
  <c r="CE40" i="24"/>
  <c r="CE39" i="24"/>
  <c r="CB18" i="24"/>
  <c r="CB48" i="24"/>
  <c r="CB42" i="24"/>
  <c r="CB40" i="24"/>
  <c r="CB39" i="24"/>
  <c r="BY18" i="24"/>
  <c r="BY48" i="24"/>
  <c r="BY42" i="24"/>
  <c r="BY40" i="24"/>
  <c r="BY36" i="24"/>
  <c r="BV18" i="24"/>
  <c r="BV24" i="24"/>
  <c r="BV26" i="24"/>
  <c r="BV27" i="24"/>
  <c r="BV33" i="24"/>
  <c r="BV34" i="24"/>
  <c r="BV35" i="24"/>
  <c r="BS51" i="24"/>
  <c r="BS52" i="24"/>
  <c r="BS18" i="24"/>
  <c r="BS24" i="24"/>
  <c r="BS26" i="24"/>
  <c r="BS27" i="24"/>
  <c r="BS30" i="24"/>
  <c r="BS33" i="24"/>
  <c r="BS34" i="24"/>
  <c r="BS50" i="24"/>
  <c r="BS49" i="24"/>
  <c r="BP18" i="24"/>
  <c r="BP36" i="24"/>
  <c r="BM18" i="24"/>
  <c r="BM22" i="24"/>
  <c r="BJ18" i="24"/>
  <c r="BJ22" i="24"/>
  <c r="BK22" i="24"/>
  <c r="BJ27" i="24"/>
  <c r="BG18" i="24"/>
  <c r="BG22" i="24"/>
  <c r="BG27" i="24"/>
  <c r="BG47" i="24"/>
  <c r="BG43" i="24"/>
  <c r="BG39" i="24"/>
  <c r="BD18" i="24"/>
  <c r="BD22" i="24"/>
  <c r="BD24" i="24"/>
  <c r="BD47" i="24"/>
  <c r="BD43" i="24"/>
  <c r="BA18" i="24"/>
  <c r="BA19" i="24"/>
  <c r="BA22" i="24"/>
  <c r="BA27" i="24"/>
  <c r="BA28" i="24"/>
  <c r="BA36" i="24"/>
  <c r="BA35" i="24"/>
  <c r="BA33" i="24"/>
  <c r="BA47" i="24"/>
  <c r="BA43" i="24"/>
  <c r="AX18" i="24"/>
  <c r="AX22" i="24"/>
  <c r="AX27" i="24"/>
  <c r="AU18" i="24"/>
  <c r="AU22" i="24"/>
  <c r="AU27" i="24"/>
  <c r="AU35" i="24"/>
  <c r="AR18" i="24"/>
  <c r="AR22" i="24"/>
  <c r="AR25" i="24"/>
  <c r="AR27" i="24"/>
  <c r="AR38" i="24"/>
  <c r="AO18" i="24"/>
  <c r="AO19" i="24"/>
  <c r="AO20" i="24"/>
  <c r="AO22" i="24"/>
  <c r="AO24" i="24"/>
  <c r="AO26" i="24"/>
  <c r="AO27" i="24"/>
  <c r="AO29" i="24"/>
  <c r="AO35" i="24"/>
  <c r="AL18" i="24"/>
  <c r="AL22" i="24"/>
  <c r="AL27" i="24"/>
  <c r="AL35" i="24"/>
  <c r="AL34" i="24"/>
  <c r="AL40" i="24"/>
  <c r="AI18" i="24"/>
  <c r="AI19" i="24"/>
  <c r="AI24" i="24"/>
  <c r="AI26" i="24"/>
  <c r="AI27" i="24"/>
  <c r="AI29" i="24"/>
  <c r="AI37" i="24"/>
  <c r="AI34" i="24"/>
  <c r="H32" i="24"/>
  <c r="K48" i="24"/>
  <c r="W36" i="24"/>
  <c r="AF18" i="24"/>
  <c r="AF22" i="24"/>
  <c r="AF27" i="24"/>
  <c r="AF40" i="24"/>
  <c r="AC18" i="24"/>
  <c r="AC23" i="24"/>
  <c r="AC22" i="24"/>
  <c r="AC27" i="24"/>
  <c r="Z18" i="24"/>
  <c r="Z19" i="24"/>
  <c r="Z22" i="24"/>
  <c r="Z26" i="24"/>
  <c r="Z27" i="24"/>
  <c r="W18" i="24"/>
  <c r="W19" i="24"/>
  <c r="W22" i="24"/>
  <c r="W30" i="24"/>
  <c r="W26" i="24"/>
  <c r="W27" i="24"/>
  <c r="W34" i="24"/>
  <c r="W35" i="24"/>
  <c r="W46" i="24"/>
  <c r="T18" i="24"/>
  <c r="T19" i="24"/>
  <c r="T20" i="24"/>
  <c r="T21" i="24"/>
  <c r="T26" i="24"/>
  <c r="T27" i="24"/>
  <c r="T34" i="24"/>
  <c r="T35" i="24"/>
  <c r="T46" i="24"/>
  <c r="Q18" i="24"/>
  <c r="Q19" i="24"/>
  <c r="Q20" i="24"/>
  <c r="Q26" i="24"/>
  <c r="Q27" i="24"/>
  <c r="Q33" i="24"/>
  <c r="Q34" i="24"/>
  <c r="Q41" i="24"/>
  <c r="N18" i="24"/>
  <c r="N19" i="24"/>
  <c r="N20" i="24"/>
  <c r="N26" i="24"/>
  <c r="N27" i="24"/>
  <c r="N33" i="24"/>
  <c r="O33" i="24"/>
  <c r="N34" i="24"/>
  <c r="N41" i="24"/>
  <c r="K18" i="24"/>
  <c r="K19" i="24"/>
  <c r="K45" i="24"/>
  <c r="K27" i="24"/>
  <c r="H18" i="24"/>
  <c r="H19" i="24"/>
  <c r="H20" i="24"/>
  <c r="H22" i="24"/>
  <c r="H30" i="24"/>
  <c r="H26" i="24"/>
  <c r="H27" i="24"/>
  <c r="D14" i="24"/>
  <c r="H33" i="24"/>
  <c r="H39" i="24"/>
  <c r="H31" i="24"/>
  <c r="H34" i="24"/>
  <c r="E15" i="17" l="1"/>
  <c r="E6" i="8"/>
  <c r="R26" i="24" s="1"/>
  <c r="E13" i="8"/>
  <c r="E14" i="7"/>
  <c r="E15" i="11"/>
  <c r="E11" i="11"/>
  <c r="X36" i="24" s="1"/>
  <c r="E5" i="37"/>
  <c r="CL48" i="24" s="1"/>
  <c r="E12" i="37"/>
  <c r="E7" i="37"/>
  <c r="CL40" i="24" s="1"/>
  <c r="E6" i="37"/>
  <c r="CL42" i="24" s="1"/>
  <c r="F8" i="36"/>
  <c r="CI39" i="24" s="1"/>
  <c r="F7" i="36"/>
  <c r="CI40" i="24" s="1"/>
  <c r="F12" i="36"/>
  <c r="F6" i="36"/>
  <c r="CI42" i="24" s="1"/>
  <c r="F5" i="36"/>
  <c r="CI48" i="24" s="1"/>
  <c r="F12" i="35"/>
  <c r="F8" i="35"/>
  <c r="CF39" i="24" s="1"/>
  <c r="F7" i="35"/>
  <c r="CF40" i="24" s="1"/>
  <c r="F6" i="35"/>
  <c r="CF42" i="24" s="1"/>
  <c r="F5" i="35"/>
  <c r="CF48" i="24" s="1"/>
  <c r="E12" i="34"/>
  <c r="E8" i="34"/>
  <c r="CC39" i="24" s="1"/>
  <c r="E7" i="34"/>
  <c r="CC40" i="24" s="1"/>
  <c r="E6" i="34"/>
  <c r="CC42" i="24" s="1"/>
  <c r="E5" i="34"/>
  <c r="CC48" i="24" s="1"/>
  <c r="E6" i="33"/>
  <c r="BZ42" i="24" s="1"/>
  <c r="E7" i="33"/>
  <c r="BZ40" i="24" s="1"/>
  <c r="E12" i="33"/>
  <c r="E8" i="33"/>
  <c r="BZ36" i="24" s="1"/>
  <c r="E5" i="33"/>
  <c r="BZ48" i="24" s="1"/>
  <c r="B42" i="24" l="1"/>
  <c r="Q5" i="24" s="1"/>
  <c r="E4" i="37"/>
  <c r="F4" i="36"/>
  <c r="F4" i="35"/>
  <c r="E4" i="34"/>
  <c r="E4" i="33"/>
  <c r="E9" i="32"/>
  <c r="BW35" i="24" s="1"/>
  <c r="E10" i="32"/>
  <c r="BT51" i="24" s="1"/>
  <c r="B51" i="24" s="1"/>
  <c r="S10" i="24" s="1"/>
  <c r="E11" i="32"/>
  <c r="BT52" i="24" s="1"/>
  <c r="B52" i="24" s="1"/>
  <c r="S11" i="24" s="1"/>
  <c r="E14" i="32"/>
  <c r="E8" i="32"/>
  <c r="BW34" i="24" s="1"/>
  <c r="E7" i="32"/>
  <c r="BW33" i="24" s="1"/>
  <c r="E6" i="32"/>
  <c r="BW27" i="24" s="1"/>
  <c r="E5" i="32"/>
  <c r="BW26" i="24" s="1"/>
  <c r="E4" i="32"/>
  <c r="BW24" i="24" s="1"/>
  <c r="E10" i="31"/>
  <c r="BT34" i="24" s="1"/>
  <c r="E5" i="31"/>
  <c r="BT24" i="24" s="1"/>
  <c r="E7" i="31"/>
  <c r="BT27" i="24" s="1"/>
  <c r="E11" i="31"/>
  <c r="BT50" i="24" s="1"/>
  <c r="B50" i="24" s="1"/>
  <c r="S9" i="24" s="1"/>
  <c r="E12" i="31"/>
  <c r="BT49" i="24" s="1"/>
  <c r="B49" i="24" s="1"/>
  <c r="S8" i="24" s="1"/>
  <c r="E9" i="31"/>
  <c r="BT33" i="24" s="1"/>
  <c r="E16" i="31"/>
  <c r="E8" i="31"/>
  <c r="BT30" i="24" s="1"/>
  <c r="E6" i="31"/>
  <c r="BT26" i="24" s="1"/>
  <c r="CI18" i="24" l="1"/>
  <c r="G220" i="2"/>
  <c r="G196" i="2"/>
  <c r="BZ18" i="24"/>
  <c r="G228" i="2"/>
  <c r="CL18" i="24"/>
  <c r="CF18" i="24"/>
  <c r="G212" i="2"/>
  <c r="CC18" i="24"/>
  <c r="G204" i="2"/>
  <c r="E3" i="32"/>
  <c r="E4" i="31"/>
  <c r="E5" i="28"/>
  <c r="E11" i="28"/>
  <c r="E5" i="27"/>
  <c r="E11" i="27"/>
  <c r="E11" i="26"/>
  <c r="E6" i="26"/>
  <c r="E7" i="23"/>
  <c r="BH47" i="24" s="1"/>
  <c r="E8" i="23"/>
  <c r="BH43" i="24" s="1"/>
  <c r="E9" i="23"/>
  <c r="BH39" i="24" s="1"/>
  <c r="E14" i="23"/>
  <c r="E6" i="23"/>
  <c r="BH27" i="24" s="1"/>
  <c r="E5" i="23"/>
  <c r="BH22" i="24" s="1"/>
  <c r="E14" i="22"/>
  <c r="E5" i="22"/>
  <c r="BE22" i="24" s="1"/>
  <c r="E6" i="22"/>
  <c r="BE24" i="24" s="1"/>
  <c r="E7" i="22"/>
  <c r="BE47" i="24" s="1"/>
  <c r="E8" i="22"/>
  <c r="BE43" i="24" s="1"/>
  <c r="E15" i="21"/>
  <c r="E8" i="21"/>
  <c r="BB36" i="24" s="1"/>
  <c r="E9" i="21"/>
  <c r="BB35" i="24" s="1"/>
  <c r="E10" i="21"/>
  <c r="BB33" i="24" s="1"/>
  <c r="E11" i="21"/>
  <c r="BB47" i="24" s="1"/>
  <c r="E12" i="21"/>
  <c r="BB43" i="24" s="1"/>
  <c r="E7" i="21"/>
  <c r="BB28" i="24" s="1"/>
  <c r="B28" i="24" s="1"/>
  <c r="I4" i="24" s="1"/>
  <c r="E6" i="21"/>
  <c r="BB27" i="24" s="1"/>
  <c r="B43" i="24" l="1"/>
  <c r="O2" i="24" s="1"/>
  <c r="O12" i="24" s="1"/>
  <c r="B47" i="24"/>
  <c r="U2" i="24" s="1"/>
  <c r="E4" i="27"/>
  <c r="BN22" i="24"/>
  <c r="E4" i="22"/>
  <c r="E4" i="26"/>
  <c r="BK27" i="24"/>
  <c r="E4" i="28"/>
  <c r="BQ36" i="24"/>
  <c r="B36" i="24" s="1"/>
  <c r="S5" i="24" s="1"/>
  <c r="G180" i="2"/>
  <c r="BT18" i="24"/>
  <c r="G188" i="2"/>
  <c r="BW18" i="24"/>
  <c r="E4" i="23"/>
  <c r="E5" i="21"/>
  <c r="BB22" i="24" s="1"/>
  <c r="E4" i="21"/>
  <c r="E11" i="20"/>
  <c r="E6" i="20"/>
  <c r="AY27" i="24" s="1"/>
  <c r="E5" i="20"/>
  <c r="AY22" i="24" s="1"/>
  <c r="BE18" i="24" l="1"/>
  <c r="G140" i="2"/>
  <c r="G172" i="2"/>
  <c r="BQ18" i="24"/>
  <c r="BN18" i="24"/>
  <c r="G164" i="2"/>
  <c r="G148" i="2"/>
  <c r="BH18" i="24"/>
  <c r="G156" i="2"/>
  <c r="BK18" i="24"/>
  <c r="BB19" i="24"/>
  <c r="E3" i="21"/>
  <c r="E4" i="20"/>
  <c r="E4" i="19"/>
  <c r="AV22" i="24" s="1"/>
  <c r="E131" i="5"/>
  <c r="G124" i="2" l="1"/>
  <c r="AY18" i="24"/>
  <c r="G132" i="2"/>
  <c r="BB18" i="24"/>
  <c r="E10" i="19"/>
  <c r="E6" i="19"/>
  <c r="AV35" i="24" s="1"/>
  <c r="E5" i="19"/>
  <c r="AV27" i="24" s="1"/>
  <c r="E12" i="18"/>
  <c r="E8" i="18"/>
  <c r="AS38" i="24" s="1"/>
  <c r="B38" i="24" s="1"/>
  <c r="S7" i="24" s="1"/>
  <c r="E7" i="18"/>
  <c r="AS27" i="24" s="1"/>
  <c r="E6" i="18"/>
  <c r="AS25" i="24" s="1"/>
  <c r="B25" i="24" s="1"/>
  <c r="M2" i="24" s="1"/>
  <c r="E5" i="18"/>
  <c r="AS22" i="24" s="1"/>
  <c r="E9" i="17"/>
  <c r="AP27" i="24" s="1"/>
  <c r="E11" i="17"/>
  <c r="AP35" i="24" s="1"/>
  <c r="E8" i="17"/>
  <c r="AP26" i="24" s="1"/>
  <c r="E10" i="17"/>
  <c r="AP29" i="24" s="1"/>
  <c r="E7" i="17"/>
  <c r="AP24" i="24" s="1"/>
  <c r="E5" i="17"/>
  <c r="AP20" i="24" s="1"/>
  <c r="E6" i="17"/>
  <c r="AP22" i="24" s="1"/>
  <c r="E4" i="17"/>
  <c r="E9" i="16"/>
  <c r="AJ37" i="24" s="1"/>
  <c r="B37" i="24" s="1"/>
  <c r="S6" i="24" s="1"/>
  <c r="E8" i="16"/>
  <c r="AJ29" i="24" s="1"/>
  <c r="E7" i="16"/>
  <c r="E6" i="16"/>
  <c r="AJ26" i="24" s="1"/>
  <c r="E5" i="16"/>
  <c r="AJ24" i="24" s="1"/>
  <c r="E4" i="16"/>
  <c r="AJ19" i="24" s="1"/>
  <c r="AP19" i="24" l="1"/>
  <c r="B24" i="24"/>
  <c r="E7" i="24" s="1"/>
  <c r="B29" i="24"/>
  <c r="I5" i="24" s="1"/>
  <c r="E3" i="17"/>
  <c r="AJ27" i="24"/>
  <c r="E3" i="19"/>
  <c r="E4" i="18"/>
  <c r="E13" i="16"/>
  <c r="E10" i="16"/>
  <c r="AJ34" i="24" s="1"/>
  <c r="E6" i="15"/>
  <c r="AM27" i="24" s="1"/>
  <c r="E5" i="15"/>
  <c r="AM22" i="24" s="1"/>
  <c r="E7" i="15"/>
  <c r="AM35" i="24" s="1"/>
  <c r="E8" i="15"/>
  <c r="AM34" i="24" s="1"/>
  <c r="AS18" i="24" l="1"/>
  <c r="G108" i="2"/>
  <c r="G116" i="2"/>
  <c r="AV18" i="24"/>
  <c r="AP18" i="24"/>
  <c r="G100" i="2"/>
  <c r="E3" i="16"/>
  <c r="E12" i="15"/>
  <c r="E9" i="15"/>
  <c r="E7" i="14"/>
  <c r="AG40" i="24" s="1"/>
  <c r="E10" i="14"/>
  <c r="E6" i="14"/>
  <c r="AG27" i="24" s="1"/>
  <c r="E5" i="14"/>
  <c r="E6" i="13"/>
  <c r="AD22" i="24" s="1"/>
  <c r="E10" i="13"/>
  <c r="E7" i="13"/>
  <c r="AD27" i="24" s="1"/>
  <c r="E5" i="13"/>
  <c r="AD23" i="24" s="1"/>
  <c r="B23" i="24" s="1"/>
  <c r="E6" i="24" s="1"/>
  <c r="E10" i="12"/>
  <c r="E7" i="12"/>
  <c r="AA27" i="24" s="1"/>
  <c r="E6" i="12"/>
  <c r="AA26" i="24" s="1"/>
  <c r="E5" i="12"/>
  <c r="AA22" i="24" s="1"/>
  <c r="E4" i="12"/>
  <c r="AA19" i="24" s="1"/>
  <c r="E6" i="11"/>
  <c r="X30" i="24" s="1"/>
  <c r="AG22" i="24" l="1"/>
  <c r="E4" i="14"/>
  <c r="G76" i="2"/>
  <c r="AG18" i="24"/>
  <c r="E4" i="15"/>
  <c r="AM40" i="24"/>
  <c r="B40" i="24" s="1"/>
  <c r="Q3" i="24" s="1"/>
  <c r="G92" i="2"/>
  <c r="AJ18" i="24"/>
  <c r="E4" i="13"/>
  <c r="E3" i="12"/>
  <c r="E10" i="11"/>
  <c r="X35" i="24" s="1"/>
  <c r="E5" i="11"/>
  <c r="X22" i="24" s="1"/>
  <c r="E12" i="11"/>
  <c r="X46" i="24" s="1"/>
  <c r="E9" i="11"/>
  <c r="X34" i="24" s="1"/>
  <c r="E8" i="11"/>
  <c r="X27" i="24" s="1"/>
  <c r="E7" i="11"/>
  <c r="X26" i="24" s="1"/>
  <c r="E4" i="11"/>
  <c r="X19" i="24" s="1"/>
  <c r="E15" i="10"/>
  <c r="E12" i="10"/>
  <c r="U46" i="24" s="1"/>
  <c r="E11" i="10"/>
  <c r="U35" i="24" s="1"/>
  <c r="E7" i="10"/>
  <c r="U26" i="24" s="1"/>
  <c r="E6" i="10"/>
  <c r="U21" i="24" s="1"/>
  <c r="B21" i="24" s="1"/>
  <c r="E4" i="24" s="1"/>
  <c r="E5" i="10"/>
  <c r="U20" i="24" s="1"/>
  <c r="E4" i="10"/>
  <c r="U19" i="24" s="1"/>
  <c r="U34" i="24"/>
  <c r="E8" i="10"/>
  <c r="U27" i="24" s="1"/>
  <c r="E8" i="8"/>
  <c r="R33" i="24" s="1"/>
  <c r="E9" i="8"/>
  <c r="R34" i="24" s="1"/>
  <c r="E10" i="8"/>
  <c r="R41" i="24" s="1"/>
  <c r="E7" i="8"/>
  <c r="R27" i="24" s="1"/>
  <c r="E5" i="8"/>
  <c r="E4" i="8"/>
  <c r="E11" i="7"/>
  <c r="O41" i="24" s="1"/>
  <c r="E10" i="7"/>
  <c r="O34" i="24" s="1"/>
  <c r="E8" i="7"/>
  <c r="O27" i="24" s="1"/>
  <c r="E7" i="7"/>
  <c r="O26" i="24" s="1"/>
  <c r="E5" i="7"/>
  <c r="O19" i="24" s="1"/>
  <c r="E6" i="7"/>
  <c r="O20" i="24" s="1"/>
  <c r="E10" i="5"/>
  <c r="E14" i="24" s="1"/>
  <c r="E15" i="5"/>
  <c r="I34" i="24" s="1"/>
  <c r="E14" i="5"/>
  <c r="I32" i="24" s="1"/>
  <c r="B32" i="24" s="1"/>
  <c r="I8" i="24" s="1"/>
  <c r="E13" i="5"/>
  <c r="I31" i="24" s="1"/>
  <c r="B31" i="24" s="1"/>
  <c r="I7" i="24" s="1"/>
  <c r="E12" i="5"/>
  <c r="I39" i="24" s="1"/>
  <c r="B39" i="24" s="1"/>
  <c r="Q2" i="24" s="1"/>
  <c r="E11" i="5"/>
  <c r="I33" i="24" s="1"/>
  <c r="E9" i="5"/>
  <c r="I27" i="24" s="1"/>
  <c r="E8" i="5"/>
  <c r="I26" i="24" s="1"/>
  <c r="E7" i="5"/>
  <c r="I30" i="24" s="1"/>
  <c r="B30" i="24" s="1"/>
  <c r="I6" i="24" s="1"/>
  <c r="E6" i="5"/>
  <c r="I22" i="24" s="1"/>
  <c r="B22" i="24" s="1"/>
  <c r="E5" i="24" s="1"/>
  <c r="E5" i="5"/>
  <c r="E41" i="5"/>
  <c r="B33" i="24" l="1"/>
  <c r="S2" i="24" s="1"/>
  <c r="G68" i="2"/>
  <c r="AD18" i="24"/>
  <c r="G84" i="2"/>
  <c r="AM18" i="24"/>
  <c r="B46" i="24"/>
  <c r="Y3" i="24" s="1"/>
  <c r="B35" i="24"/>
  <c r="S4" i="24" s="1"/>
  <c r="I20" i="24"/>
  <c r="R19" i="24"/>
  <c r="R20" i="24"/>
  <c r="B41" i="24"/>
  <c r="Q4" i="24" s="1"/>
  <c r="Q12" i="24" s="1"/>
  <c r="B34" i="24"/>
  <c r="S3" i="24" s="1"/>
  <c r="B26" i="24"/>
  <c r="I2" i="24" s="1"/>
  <c r="E4" i="7"/>
  <c r="G60" i="2"/>
  <c r="AA18" i="24"/>
  <c r="E3" i="10"/>
  <c r="G44" i="2" s="1"/>
  <c r="E3" i="11"/>
  <c r="E3" i="8"/>
  <c r="E7" i="6"/>
  <c r="L45" i="24" s="1"/>
  <c r="B45" i="24" s="1"/>
  <c r="Y2" i="24" s="1"/>
  <c r="E6" i="6"/>
  <c r="L48" i="24" s="1"/>
  <c r="B48" i="24" s="1"/>
  <c r="W2" i="24" s="1"/>
  <c r="E5" i="6"/>
  <c r="L19" i="24" s="1"/>
  <c r="E8" i="6"/>
  <c r="L27" i="24" s="1"/>
  <c r="B27" i="24" s="1"/>
  <c r="I3" i="24" s="1"/>
  <c r="E11" i="6"/>
  <c r="E150" i="5"/>
  <c r="E114" i="5"/>
  <c r="E108" i="5"/>
  <c r="E75" i="5"/>
  <c r="S12" i="24" l="1"/>
  <c r="I12" i="24"/>
  <c r="B20" i="24"/>
  <c r="E3" i="24" s="1"/>
  <c r="G52" i="2"/>
  <c r="X18" i="24"/>
  <c r="R18" i="24"/>
  <c r="G36" i="2"/>
  <c r="O18" i="24"/>
  <c r="G28" i="2"/>
  <c r="U18" i="24"/>
  <c r="E3" i="5"/>
  <c r="G14" i="2" s="1"/>
  <c r="I19" i="24"/>
  <c r="B19" i="24" s="1"/>
  <c r="E4" i="6"/>
  <c r="E18" i="5"/>
  <c r="L18" i="24" l="1"/>
  <c r="G5" i="2"/>
  <c r="G3" i="2" s="1"/>
  <c r="E2" i="24"/>
  <c r="E12" i="24" s="1"/>
  <c r="I18" i="24"/>
  <c r="B54" i="24"/>
  <c r="B58" i="38"/>
  <c r="H65" i="3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LABADIE Damien</author>
  </authors>
  <commentList>
    <comment ref="A19" authorId="0" shapeId="0" xr:uid="{00000000-0006-0000-0500-000001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AlCu4MgSi</t>
        </r>
      </text>
    </comment>
    <comment ref="A20" authorId="0" shapeId="0" xr:uid="{00000000-0006-0000-0500-000002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AlCu4Mg1</t>
        </r>
      </text>
    </comment>
    <comment ref="A22" authorId="0" shapeId="0" xr:uid="{00000000-0006-0000-0500-000003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AlMg4 tolerie / découpe</t>
        </r>
      </text>
    </comment>
    <comment ref="A23" authorId="0" shapeId="0" xr:uid="{00000000-0006-0000-0500-000004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AlMgSi tolerie / découpe</t>
        </r>
      </text>
    </comment>
    <comment ref="A28" authorId="0" shapeId="0" xr:uid="{00000000-0006-0000-0500-000005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15CrMoV6
Cr1,5%
Mo 1%
V0,3%</t>
        </r>
      </text>
    </comment>
    <comment ref="A29" authorId="0" shapeId="0" xr:uid="{00000000-0006-0000-0500-000006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30NiCrMo16
C: 0,3%
Ni 3,5%
Cr: 1,2%
Mo: 0,45%</t>
        </r>
      </text>
    </comment>
    <comment ref="A30" authorId="0" shapeId="0" xr:uid="{00000000-0006-0000-0500-000007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35NiCr6
C: 0,35%
Ni: 1,2%
Cr: 0,85</t>
        </r>
      </text>
    </comment>
    <comment ref="A31" authorId="0" shapeId="0" xr:uid="{00000000-0006-0000-0500-000008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C : 0,08%
Ni: 11%
Cr: 18%
Ti: 5C</t>
        </r>
      </text>
    </comment>
    <comment ref="A32" authorId="0" shapeId="0" xr:uid="{00000000-0006-0000-0500-000009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C: 0,4%
Cr: 1,1%
Mo: 0,25%</t>
        </r>
      </text>
    </comment>
    <comment ref="E34" authorId="0" shapeId="0" xr:uid="{00000000-0006-0000-0500-00000A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distinguer les films décor des pièces en plastique</t>
        </r>
      </text>
    </comment>
    <comment ref="A36" authorId="0" shapeId="0" xr:uid="{00000000-0006-0000-0500-00000B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PVC: 60 à 100%
flame retardant: 10-30%
C-PVC: 10-30%
Others
Thermoformage</t>
        </r>
      </text>
    </comment>
    <comment ref="A38" authorId="0" shapeId="0" xr:uid="{00000000-0006-0000-0500-00000C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Polycarbonate ester, flame retardant resin
thermoformage</t>
        </r>
      </text>
    </comment>
    <comment ref="A39" authorId="0" shapeId="0" xr:uid="{00000000-0006-0000-0500-00000D000000}">
      <text>
        <r>
          <rPr>
            <b/>
            <sz val="9"/>
            <color indexed="81"/>
            <rFont val="Tahoma"/>
            <family val="2"/>
          </rPr>
          <t>LABADIE Damien:
Polyurethane, Polyamide</t>
        </r>
      </text>
    </comment>
    <comment ref="A40" authorId="0" shapeId="0" xr:uid="{00000000-0006-0000-0500-00000E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Polyurethane, polyamide</t>
        </r>
      </text>
    </comment>
    <comment ref="A41" authorId="0" shapeId="0" xr:uid="{00000000-0006-0000-0500-00000F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95% wool, 5% leather</t>
        </r>
      </text>
    </comment>
    <comment ref="A55" authorId="0" shapeId="0" xr:uid="{00000000-0006-0000-0500-000010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PU, PP ou PU
</t>
        </r>
      </text>
    </comment>
    <comment ref="A57" authorId="0" shapeId="0" xr:uid="{00000000-0006-0000-0500-000011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film PE</t>
        </r>
      </text>
    </comment>
    <comment ref="A63" authorId="0" shapeId="0" xr:uid="{00000000-0006-0000-0500-000012000000}">
      <text>
        <r>
          <rPr>
            <b/>
            <sz val="9"/>
            <color indexed="81"/>
            <rFont val="Tahoma"/>
            <family val="2"/>
          </rPr>
          <t>LABADIE Damien:</t>
        </r>
        <r>
          <rPr>
            <sz val="9"/>
            <color indexed="81"/>
            <rFont val="Tahoma"/>
            <family val="2"/>
          </rPr>
          <t xml:space="preserve">
Tin coated copper + ETFE insulation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LOIZILLON Xavier</author>
  </authors>
  <commentList>
    <comment ref="G262" authorId="0" shapeId="0" xr:uid="{00000000-0006-0000-0600-000001000000}">
      <text>
        <r>
          <rPr>
            <b/>
            <sz val="9"/>
            <color indexed="81"/>
            <rFont val="Tahoma"/>
            <family val="2"/>
          </rPr>
          <t>LOIZILLON Xavier:</t>
        </r>
        <r>
          <rPr>
            <sz val="9"/>
            <color indexed="81"/>
            <rFont val="Tahoma"/>
            <family val="2"/>
          </rPr>
          <t xml:space="preserve">
Pro-rata massique sur la consommation totale de l'avion, par siège et par an.</t>
        </r>
      </text>
    </comment>
    <comment ref="G263" authorId="0" shapeId="0" xr:uid="{00000000-0006-0000-0600-000002000000}">
      <text>
        <r>
          <rPr>
            <b/>
            <sz val="9"/>
            <color indexed="81"/>
            <rFont val="Tahoma"/>
            <family val="2"/>
          </rPr>
          <t xml:space="preserve">LOIZILLON Xavier:
1 modèle d'opérations/siège/an, détails dans le modèle
</t>
        </r>
      </text>
    </comment>
  </commentList>
</comments>
</file>

<file path=xl/sharedStrings.xml><?xml version="1.0" encoding="utf-8"?>
<sst xmlns="http://schemas.openxmlformats.org/spreadsheetml/2006/main" count="4655" uniqueCount="1167">
  <si>
    <t>ANALYSE CYCLE DE VIE OPERA QATAR</t>
  </si>
  <si>
    <t>FUKL1-1QR000-01ASTR</t>
  </si>
  <si>
    <t>FICHIER UTILISE - FJKL1-1QR102-01ADRW - ENS FAUTEUIL ITEM 102</t>
  </si>
  <si>
    <t>MASSE ELEC 3D POUR INFO / TABLEAU MASSE ELEC FICHIER EXCEL</t>
  </si>
  <si>
    <t>EQUIPEMENT</t>
  </si>
  <si>
    <t>P/N LIVRABLE</t>
  </si>
  <si>
    <t>IMAGES</t>
  </si>
  <si>
    <t>TECHNIQUE DE FABRICATION</t>
  </si>
  <si>
    <t>MATIERE</t>
  </si>
  <si>
    <t>MASSE kg</t>
  </si>
  <si>
    <t>MASSE + EQUIPEMENT kg</t>
  </si>
  <si>
    <t>FAMILLE DE TECHNOLOGIE</t>
  </si>
  <si>
    <t>FOURNISSEUR</t>
  </si>
  <si>
    <t>LOCALISATION</t>
  </si>
  <si>
    <t>FINITION</t>
  </si>
  <si>
    <t>TYPE D'EMBALLAGE</t>
  </si>
  <si>
    <t>DISTANCE FROM ROCHEFORT KM</t>
  </si>
  <si>
    <t>TYPE TRSP</t>
  </si>
  <si>
    <t>COMMENTS</t>
  </si>
  <si>
    <t>DCJ19-1QR001-01ASTR</t>
  </si>
  <si>
    <t>USAGE UNIQUE</t>
  </si>
  <si>
    <t>NAVETTE</t>
  </si>
  <si>
    <t>Nbr de pièce / EMBALLAGE</t>
  </si>
  <si>
    <t>MASSE</t>
  </si>
  <si>
    <t xml:space="preserve"> FJKL1-3K1J01-01ATAB - ELEC</t>
  </si>
  <si>
    <t>ENSEMBLE COQUE</t>
  </si>
  <si>
    <t>FUKL1-1Q1000-01ASTR</t>
  </si>
  <si>
    <t>composites</t>
  </si>
  <si>
    <t xml:space="preserve">STECO </t>
  </si>
  <si>
    <t>SALAUNES 33160</t>
  </si>
  <si>
    <t>CAMION</t>
  </si>
  <si>
    <t>FRM A DEFINIR (DUQUEINE)</t>
  </si>
  <si>
    <t>moulage composites</t>
  </si>
  <si>
    <t>PANNEAU_NIDA/LAMINA_ep12,7</t>
  </si>
  <si>
    <t>AER FILM SCHNEDER</t>
  </si>
  <si>
    <t>FUKL1-2P1000-01ASTR - ENS COQUE EQUIPEE</t>
  </si>
  <si>
    <t>RESINE_BR623_P4</t>
  </si>
  <si>
    <t>FUKL1-1Q1002-01ASTR - PANNEAU EQUIPE</t>
  </si>
  <si>
    <t xml:space="preserve"> moulage composites</t>
  </si>
  <si>
    <t>ENS STRUCTURE FAUTEUIL</t>
  </si>
  <si>
    <t>FJKL1-1A1000-01ASTR</t>
  </si>
  <si>
    <t xml:space="preserve">usinage </t>
  </si>
  <si>
    <t>SENIOR</t>
  </si>
  <si>
    <t>SENIOR AEROSPACE THAILAND LIMITED</t>
  </si>
  <si>
    <t>AVION</t>
  </si>
  <si>
    <t>FJKL1-1B2000-01ASTR - ENS STRUCTURE FIXE</t>
  </si>
  <si>
    <t>USINAGES</t>
  </si>
  <si>
    <t>A2017</t>
  </si>
  <si>
    <t>20230 NHONGKHAM</t>
  </si>
  <si>
    <t>FJKL1-1C1000-01ASTR - ENS STRUCTURE MOBILE</t>
  </si>
  <si>
    <r>
      <rPr>
        <b/>
        <sz val="11"/>
        <rFont val="Calibri"/>
        <family val="2"/>
        <scheme val="minor"/>
      </rPr>
      <t>A2017</t>
    </r>
    <r>
      <rPr>
        <sz val="11"/>
        <color rgb="FF00B050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/ A2024 / A5086 / 35NC6</t>
    </r>
  </si>
  <si>
    <t>SURTEC 650</t>
  </si>
  <si>
    <t>FJKL1-1E1000-01ASTR - ENS STRUCTURE DOSSIER</t>
  </si>
  <si>
    <r>
      <rPr>
        <b/>
        <sz val="11"/>
        <rFont val="Calibri"/>
        <family val="2"/>
        <scheme val="minor"/>
      </rPr>
      <t>A2017</t>
    </r>
    <r>
      <rPr>
        <sz val="11"/>
        <color theme="1"/>
        <rFont val="Calibri"/>
        <family val="2"/>
        <scheme val="minor"/>
      </rPr>
      <t xml:space="preserve"> / A2024 / A5086 / 35NC6</t>
    </r>
  </si>
  <si>
    <t>FJKL1-1C2000-01ASTR - ENS BIELLE DOSSIER (x2)</t>
  </si>
  <si>
    <r>
      <rPr>
        <b/>
        <sz val="11"/>
        <color theme="1"/>
        <rFont val="Calibri"/>
        <family val="2"/>
        <scheme val="minor"/>
      </rPr>
      <t>A2017</t>
    </r>
    <r>
      <rPr>
        <sz val="11"/>
        <color theme="1"/>
        <rFont val="Calibri"/>
        <family val="2"/>
        <scheme val="minor"/>
      </rPr>
      <t xml:space="preserve"> / 35NC6</t>
    </r>
  </si>
  <si>
    <t>FJKL1-1C3000-01ASTR - ENS CHARIOT ACTIONNEUR</t>
  </si>
  <si>
    <r>
      <rPr>
        <b/>
        <sz val="11"/>
        <color theme="1"/>
        <rFont val="Calibri"/>
        <family val="2"/>
        <scheme val="minor"/>
      </rPr>
      <t xml:space="preserve">A2017 </t>
    </r>
    <r>
      <rPr>
        <sz val="11"/>
        <color theme="1"/>
        <rFont val="Calibri"/>
        <family val="2"/>
        <scheme val="minor"/>
      </rPr>
      <t>/ A2024 / 35NC6 / NYLON</t>
    </r>
  </si>
  <si>
    <t>TETIERE</t>
  </si>
  <si>
    <t>FJKL1-1E2000-01ASTR</t>
  </si>
  <si>
    <t>ALU</t>
  </si>
  <si>
    <t>GATTEFIN</t>
  </si>
  <si>
    <t xml:space="preserve">18500 MEHUN SUR YEVRE </t>
  </si>
  <si>
    <t>ENS TABLETTE COCKTAIL</t>
  </si>
  <si>
    <t>FUKL1-2R1000-01ASTR</t>
  </si>
  <si>
    <t xml:space="preserve">A2017 / acier </t>
  </si>
  <si>
    <t>MGA</t>
  </si>
  <si>
    <t>VILLENEUVE SUR LOT 47300</t>
  </si>
  <si>
    <t>FILM DECOR KYDEX 6565</t>
  </si>
  <si>
    <t>ENS TABLETTE REPAS</t>
  </si>
  <si>
    <t>FUKL1-2T1000-01ASTR</t>
  </si>
  <si>
    <t>A2024 / A7075</t>
  </si>
  <si>
    <t>STOWAGE ASSEMBLE AVEC PORTE</t>
  </si>
  <si>
    <t>DCJ19-8R2100-01ASTR</t>
  </si>
  <si>
    <t>A2017 / A5086 / A7075 / Kydex / Ertalon</t>
  </si>
  <si>
    <t>JV GROUP</t>
  </si>
  <si>
    <t>BORDEAUX 33370</t>
  </si>
  <si>
    <t>PEINTURE POUDRE AXALTA</t>
  </si>
  <si>
    <t>SUPPORT ECRAN ASSEMBLE</t>
  </si>
  <si>
    <t>FUKL1-2R7000-01ASTR</t>
  </si>
  <si>
    <t>A2017 / A5086</t>
  </si>
  <si>
    <t>RENFORT TUBULAIRE</t>
  </si>
  <si>
    <t>FUKL1-1R9000-01ASTR</t>
  </si>
  <si>
    <t>CINTRAGE / USINAGES / SOUDAGES</t>
  </si>
  <si>
    <t>A5086 / A6060</t>
  </si>
  <si>
    <t xml:space="preserve">cintrage /tôlerie </t>
  </si>
  <si>
    <t>SEGNERE</t>
  </si>
  <si>
    <t>65100 ADE</t>
  </si>
  <si>
    <t>HABILLAGE SOUS FAUTEUIL</t>
  </si>
  <si>
    <t>FJKL1-1L1300-01ASTR</t>
  </si>
  <si>
    <t>USINAGES / PLIAGES</t>
  </si>
  <si>
    <t>A5086</t>
  </si>
  <si>
    <t>tolerie</t>
  </si>
  <si>
    <t>ESPACE</t>
  </si>
  <si>
    <t>44117 ST ANDRE DES EAUX</t>
  </si>
  <si>
    <t>ENSEMBLE EQUIPEMENTS LATERALES</t>
  </si>
  <si>
    <t>FJKL1-1R9000-01ASTR</t>
  </si>
  <si>
    <t>ENSEMBLE PALETTE OPTIMISEE</t>
  </si>
  <si>
    <t>FUKL1-2B2002-01ASTR</t>
  </si>
  <si>
    <t>SUMPAR</t>
  </si>
  <si>
    <t>BOOS NORMANDIE 76520</t>
  </si>
  <si>
    <t>AOS NOIR</t>
  </si>
  <si>
    <t>ACCOUDOIR ALLEE</t>
  </si>
  <si>
    <t>FJKL1-1F2000-01ASTR</t>
  </si>
  <si>
    <t>usinage / tolerie</t>
  </si>
  <si>
    <t>BUMPER VERSION PORTE</t>
  </si>
  <si>
    <t>FUKL1-2N1000-01ASTR</t>
  </si>
  <si>
    <t>USINAGES / PLIAGES / INJECTE</t>
  </si>
  <si>
    <t>A5086 / LEXAN_FST_9705</t>
  </si>
  <si>
    <t>MPM</t>
  </si>
  <si>
    <t>31600 MURET</t>
  </si>
  <si>
    <t>LEXAN_FST_9705</t>
  </si>
  <si>
    <t>TEINTE MASSE</t>
  </si>
  <si>
    <t>Structure Ottoman (horizontale)</t>
  </si>
  <si>
    <t>FJKL1-1D1000-01ASTR</t>
  </si>
  <si>
    <t xml:space="preserve">tolerie </t>
  </si>
  <si>
    <t>SUPPORT EQUIPE</t>
  </si>
  <si>
    <t>FJKL1-1D1310-01ASTR</t>
  </si>
  <si>
    <t>ENS STOWAGE LATERAL</t>
  </si>
  <si>
    <t>FJKL1-2N4000-01ASTR</t>
  </si>
  <si>
    <t>A2017 / A5086 / Kydex / CUIR</t>
  </si>
  <si>
    <t>FINITION CUIR</t>
  </si>
  <si>
    <t>MANCHETTE ACC MOBILE</t>
  </si>
  <si>
    <t>FUKL1-1F2300-01ASTR</t>
  </si>
  <si>
    <t xml:space="preserve">USINAGES + gainage </t>
  </si>
  <si>
    <t>A2017 / ULTRALEATHER</t>
  </si>
  <si>
    <t xml:space="preserve">tolerie + gainage </t>
  </si>
  <si>
    <t>ACH</t>
  </si>
  <si>
    <t>CUIR</t>
  </si>
  <si>
    <t>TBD</t>
  </si>
  <si>
    <t>MGR ANGLETERRE</t>
  </si>
  <si>
    <t>MOUSSE</t>
  </si>
  <si>
    <t>TRAIN + CAMION</t>
  </si>
  <si>
    <t>FUCH THAILAND</t>
  </si>
  <si>
    <t>TOLE</t>
  </si>
  <si>
    <t>MANCHETTE EQUIPEE</t>
  </si>
  <si>
    <t>FUKL1-2F1000-01ASTR</t>
  </si>
  <si>
    <t>SUPPORT MANCHETTE EQUIPEE</t>
  </si>
  <si>
    <t>FUKL1-2F1001-01ASTR</t>
  </si>
  <si>
    <t xml:space="preserve">tôlerie </t>
  </si>
  <si>
    <t>SUPPORT NFC</t>
  </si>
  <si>
    <t>FUKL1-2R7100-01ASTR</t>
  </si>
  <si>
    <t>CAPOT NFC</t>
  </si>
  <si>
    <t>FUKL1-2R7200-01ASTR</t>
  </si>
  <si>
    <t>ENSEMBLE STRUCTURE FIXE</t>
  </si>
  <si>
    <t>FUKL1-2R2100-01ASTR</t>
  </si>
  <si>
    <t>A2017 / A2024 / A5086</t>
  </si>
  <si>
    <t>ENS PORTE</t>
  </si>
  <si>
    <t>FUKL1-2R2200-01ASTR</t>
  </si>
  <si>
    <t>A2017 / A2024 / A5086 / XHR6006</t>
  </si>
  <si>
    <t>usinage + thermo</t>
  </si>
  <si>
    <t>TEAM PLASTIQUE</t>
  </si>
  <si>
    <t>CHATEAUBRILLANT 44110</t>
  </si>
  <si>
    <t>FILM DECOR AERFILM</t>
  </si>
  <si>
    <t>KYDEX 6565</t>
  </si>
  <si>
    <t>COUSSIN OTTOMAN STD PITCH 38" QTU</t>
  </si>
  <si>
    <t>FUKL1-2L1500-01ASTR</t>
  </si>
  <si>
    <t>DECOUPES / COLLAGES</t>
  </si>
  <si>
    <t xml:space="preserve">FRMC55 / Tissu_300 / Kydex </t>
  </si>
  <si>
    <t>sellerie</t>
  </si>
  <si>
    <t>FRANKLIN</t>
  </si>
  <si>
    <t>Dzierżoniów 58-200 POLOGNE</t>
  </si>
  <si>
    <t>COUSSIN TETIERE</t>
  </si>
  <si>
    <t>FUKL1-1L1700-01-01ASTR</t>
  </si>
  <si>
    <t>FRMC55 / Tissu_300</t>
  </si>
  <si>
    <t>ENS COUSSIN DOSSIER VERSION TETIERE</t>
  </si>
  <si>
    <t>FUKL1-1L1600-01ASTR</t>
  </si>
  <si>
    <t>TISSUS</t>
  </si>
  <si>
    <t>ENS COUSSIN DOSSIER</t>
  </si>
  <si>
    <t>FUKL1-1L1100-01ASTR</t>
  </si>
  <si>
    <t>ENS COUSSIN ASSISE</t>
  </si>
  <si>
    <t>FUKL1-1L1200-01ASTR</t>
  </si>
  <si>
    <t>SUPPORT + CLAMPS</t>
  </si>
  <si>
    <t>CEINTURE DE SECURITE</t>
  </si>
  <si>
    <t>AM-SAFE</t>
  </si>
  <si>
    <t>PHOENIX USA</t>
  </si>
  <si>
    <t>PADDING</t>
  </si>
  <si>
    <t>AIRVOLT LAMINAT</t>
  </si>
  <si>
    <t>MGR FOAMTEX</t>
  </si>
  <si>
    <t>ANGLETERRE</t>
  </si>
  <si>
    <t>ULTRALEATHER SMOKE</t>
  </si>
  <si>
    <t>BRACKETS-SET</t>
  </si>
  <si>
    <t>FJKL1-3K1J01-01ATAB_BRACKETS-SET</t>
  </si>
  <si>
    <t>00-5136-51 Rev F Seat Power Box 4 (SPB4)</t>
  </si>
  <si>
    <t>SAFRAN</t>
  </si>
  <si>
    <t>3151 EAST IMPERIAL HWY BREA, CA 92821BREA, CA 92821</t>
  </si>
  <si>
    <t>ECRAN 17,3 INCH PNR 00-5155-02</t>
  </si>
  <si>
    <t>SUPPORT ECRAN</t>
  </si>
  <si>
    <t>LIGHTING x3</t>
  </si>
  <si>
    <t>S.E.L.A.</t>
  </si>
  <si>
    <t>65500 VIC-EN-BIGORRE CEDEX</t>
  </si>
  <si>
    <t>SFCU</t>
  </si>
  <si>
    <t>PETIT CLAVIER</t>
  </si>
  <si>
    <t>E2IP</t>
  </si>
  <si>
    <t>MONTREAL</t>
  </si>
  <si>
    <t>REMOTE EXTENDER UNIT 3 (REU3)</t>
  </si>
  <si>
    <t>COMMANDE ACTIONNEMENT</t>
  </si>
  <si>
    <t>FJKL1-3J1700-01ATAB - ECU GEN VII WITH COOLING</t>
  </si>
  <si>
    <t>SYSTEM IFE BOITIER</t>
  </si>
  <si>
    <t>FJKL1-3K1100-01ATAB</t>
  </si>
  <si>
    <t>DRAFT</t>
  </si>
  <si>
    <t>Lg (Inch)</t>
  </si>
  <si>
    <t>FORMULE</t>
  </si>
  <si>
    <t>MASSE POUNDS</t>
  </si>
  <si>
    <t>MASSE Kg</t>
  </si>
  <si>
    <t>FOURNISSEURS</t>
  </si>
  <si>
    <t>08-7291-78</t>
  </si>
  <si>
    <t>08-8001-48</t>
  </si>
  <si>
    <t>08-8002-17</t>
  </si>
  <si>
    <t>08-8002-48</t>
  </si>
  <si>
    <t>08-8100-6878</t>
  </si>
  <si>
    <t>08-8140-38</t>
  </si>
  <si>
    <t>08-8140-17</t>
  </si>
  <si>
    <t>08-8431-454515</t>
  </si>
  <si>
    <t>08-8665-403138</t>
  </si>
  <si>
    <t>1,2x[,11+(L1 + L3)x(0,0022) + L2 x (0,0019)]</t>
  </si>
  <si>
    <t>08-8665-433441</t>
  </si>
  <si>
    <t>08-8812-40</t>
  </si>
  <si>
    <t>1.2x[.16 + Lx(.0083)]</t>
  </si>
  <si>
    <t>08-8824-94B</t>
  </si>
  <si>
    <t>1.2x[.036 + Lx(.0008)]</t>
  </si>
  <si>
    <t>08-8824-56B</t>
  </si>
  <si>
    <t>08-8824-56Y</t>
  </si>
  <si>
    <t>08-8100-2043</t>
  </si>
  <si>
    <t>08-8012-XXYY</t>
  </si>
  <si>
    <t>Lg (mm)</t>
  </si>
  <si>
    <t>Harnais Item 10</t>
  </si>
  <si>
    <t>PGA</t>
  </si>
  <si>
    <t>Harnais Item 20</t>
  </si>
  <si>
    <t>Harnais Item 30</t>
  </si>
  <si>
    <t>Harnais Item 40</t>
  </si>
  <si>
    <t>Harnais Item 50</t>
  </si>
  <si>
    <t>Harnais Item 60</t>
  </si>
  <si>
    <t>MASSE TOTAL CABLE</t>
  </si>
  <si>
    <t>RECAP MATIERE</t>
  </si>
  <si>
    <t>ALUMINIUM</t>
  </si>
  <si>
    <t>DENSITE</t>
  </si>
  <si>
    <t>TRAITEMENT</t>
  </si>
  <si>
    <t>ALLIAGE D'ACIER</t>
  </si>
  <si>
    <t>CUIVRE</t>
  </si>
  <si>
    <t>PLASTIQUE</t>
  </si>
  <si>
    <t>NIDA</t>
  </si>
  <si>
    <t>COLLE</t>
  </si>
  <si>
    <t>PACKAGING</t>
  </si>
  <si>
    <t>INOX</t>
  </si>
  <si>
    <t>ALLIAGE CU</t>
  </si>
  <si>
    <t>ULTRA LEATHER 330</t>
  </si>
  <si>
    <t>VELCRO</t>
  </si>
  <si>
    <t>NYLON</t>
  </si>
  <si>
    <t>FRMC55</t>
  </si>
  <si>
    <t>PANNEAU_NIDA/LAMINA_EP12,7</t>
  </si>
  <si>
    <t>Bois</t>
  </si>
  <si>
    <t>A2024</t>
  </si>
  <si>
    <t>ACIER</t>
  </si>
  <si>
    <t>CUIR 850</t>
  </si>
  <si>
    <t>VELOUR</t>
  </si>
  <si>
    <t>SILICONE 50 SHORE</t>
  </si>
  <si>
    <t>Carton</t>
  </si>
  <si>
    <t>A2075</t>
  </si>
  <si>
    <t>15CDV6</t>
  </si>
  <si>
    <t>ZINGUAGE</t>
  </si>
  <si>
    <t>TISSUS 600</t>
  </si>
  <si>
    <t>ERTALON</t>
  </si>
  <si>
    <t xml:space="preserve">Mousse </t>
  </si>
  <si>
    <t xml:space="preserve">SANS </t>
  </si>
  <si>
    <t>30NCD16</t>
  </si>
  <si>
    <t>TISSUS 300</t>
  </si>
  <si>
    <t>KYDEX 5555</t>
  </si>
  <si>
    <t>Palette</t>
  </si>
  <si>
    <t>A6060</t>
  </si>
  <si>
    <t>35NC6</t>
  </si>
  <si>
    <t>POLYCHLOROPRENE</t>
  </si>
  <si>
    <t>Papier Bulle</t>
  </si>
  <si>
    <t>Z10CNT18</t>
  </si>
  <si>
    <t>COPOLIMER LEXAN FST 9705</t>
  </si>
  <si>
    <t>Papier Gauffré</t>
  </si>
  <si>
    <t>4140 (UNS G41400)</t>
  </si>
  <si>
    <t>CAOUTCHOUC</t>
  </si>
  <si>
    <t>Papier Intercalaire</t>
  </si>
  <si>
    <t>POLYAMIDE 6,6</t>
  </si>
  <si>
    <t>Papier Kraft</t>
  </si>
  <si>
    <t>XHR6006</t>
  </si>
  <si>
    <t>FILM DECOR AERFILM - Ep0.33 714g-m2</t>
  </si>
  <si>
    <t>Total Alu</t>
  </si>
  <si>
    <t>Total aciers</t>
  </si>
  <si>
    <t>Total cuir</t>
  </si>
  <si>
    <t>Total tissus</t>
  </si>
  <si>
    <t>Total plastique</t>
  </si>
  <si>
    <t>???</t>
  </si>
  <si>
    <t>Partir sur "sheet" pour les bruts</t>
  </si>
  <si>
    <t>Matière</t>
  </si>
  <si>
    <t>Quantité (kg)</t>
  </si>
  <si>
    <t>BDD Simapro</t>
  </si>
  <si>
    <t>BDD Gabi</t>
  </si>
  <si>
    <t>Retenu pour modèle</t>
  </si>
  <si>
    <t>Processus production (retenu)</t>
  </si>
  <si>
    <t>Processus fin de vie déchets de production (retenu)</t>
  </si>
  <si>
    <t>FAUTEUIL</t>
  </si>
  <si>
    <t>COQUE</t>
  </si>
  <si>
    <t>STRUCTURE OTTOMAN (horizontale)</t>
  </si>
  <si>
    <t>ENS STRUCTURE FIXE</t>
  </si>
  <si>
    <t>COUSSIN OTTOMAN</t>
  </si>
  <si>
    <t>ENS COUSSIN VERSION TETIERE</t>
  </si>
  <si>
    <t>A2219, A2618</t>
  </si>
  <si>
    <t>EU28: AlCu4MgSi extrusion profile
ou EU28: AlCU4MgTi ingot
ou EU28 AlCu4Mg1  sheet</t>
  </si>
  <si>
    <t>DE: Aluminium cast part machining
+ SURTEC 650</t>
  </si>
  <si>
    <t>EU28: Aluminium remelting: wrought alloy ingot from scrap</t>
  </si>
  <si>
    <t>EU28 AlCu4Mg1  sheet</t>
  </si>
  <si>
    <t>A5052, A5056</t>
  </si>
  <si>
    <t>EU28: AlMg4.5 sheet</t>
  </si>
  <si>
    <t>DE: Aluminium cast part machining
GLO: Steel sheet stamping and bending</t>
  </si>
  <si>
    <t>DE: AlMgSi0,7 ingot (Al6062)
DE: AlMgSi1 ingot (Al6082)</t>
  </si>
  <si>
    <r>
      <t xml:space="preserve">ALU </t>
    </r>
    <r>
      <rPr>
        <sz val="11"/>
        <color rgb="FFFF0000"/>
        <rFont val="Calibri"/>
        <family val="2"/>
        <scheme val="minor"/>
      </rPr>
      <t>2017</t>
    </r>
  </si>
  <si>
    <t>Aluminium</t>
  </si>
  <si>
    <t>GLO: Steel sheet stamping and bending</t>
  </si>
  <si>
    <t>Copper</t>
  </si>
  <si>
    <t>EU28: Copper sheet mix (Europe 2015)</t>
  </si>
  <si>
    <t>DE: Aluminium cast part machining
+ TTH à trouver</t>
  </si>
  <si>
    <t>Crédit?</t>
  </si>
  <si>
    <t>18/8</t>
  </si>
  <si>
    <t>EU28: Stainless steel cold rolled coil 304 (18,5% Cr, 9% Ni)</t>
  </si>
  <si>
    <t>DE: Aluminium cast part machining
+ TTH compris dans le steel tinplated</t>
  </si>
  <si>
    <t>Low alloyed steel</t>
  </si>
  <si>
    <t>EU: Steel tinplated</t>
  </si>
  <si>
    <t>Stainless steel powder 316L alloy</t>
  </si>
  <si>
    <t>nylon 6-6</t>
  </si>
  <si>
    <t>EU28: Polyamide 6.6</t>
  </si>
  <si>
    <t>GLO: plastic injection moulding</t>
  </si>
  <si>
    <t>[Nation] Plastics in waste incineration plants</t>
  </si>
  <si>
    <t>extrusion, plastic sheet</t>
  </si>
  <si>
    <t>nylon 6 glass-filled</t>
  </si>
  <si>
    <t>EU28: Polyamide 6</t>
  </si>
  <si>
    <t>specific</t>
  </si>
  <si>
    <t>RER: Polyvinyl chloride film (PVC)</t>
  </si>
  <si>
    <t>SIMAPRO : extrusion and thermoforming</t>
  </si>
  <si>
    <t>KYDEX</t>
  </si>
  <si>
    <t>polybutadiene</t>
  </si>
  <si>
    <t>EU28: solvent based polychloroprene adhesive of good heat resistance</t>
  </si>
  <si>
    <t>polycarbonate</t>
  </si>
  <si>
    <t>EU28: Polycarbonate</t>
  </si>
  <si>
    <t>polyurethane/polyamide</t>
  </si>
  <si>
    <t>EU28: Polyurethane flexible foam, with flame retardant
EU28: PA6.6 fibres</t>
  </si>
  <si>
    <t>N/A</t>
  </si>
  <si>
    <t>95% Wool/ 5%Nylon</t>
  </si>
  <si>
    <t>No natural wool</t>
  </si>
  <si>
    <t>Polyurethane flexible foam ou mattress production, polyurethane foam</t>
  </si>
  <si>
    <t>80% Polyester
20% Polyurethane</t>
  </si>
  <si>
    <t>epoxy resin</t>
  </si>
  <si>
    <t>RER: Epoxy resin</t>
  </si>
  <si>
    <t>GLO:  plastic injection moulding</t>
  </si>
  <si>
    <t>silicone product</t>
  </si>
  <si>
    <t>DE: Silicon rubber</t>
  </si>
  <si>
    <t>polyurethane</t>
  </si>
  <si>
    <t>EU28: Polyurethane flexible foam, with flame retardant</t>
  </si>
  <si>
    <t>synthetic rubber</t>
  </si>
  <si>
    <t>DE: Chloroprene rubber</t>
  </si>
  <si>
    <t>polycarbonate (thermoforming 185-205°)</t>
  </si>
  <si>
    <t>FILM DECOR - Ep0.33 714g-m2</t>
  </si>
  <si>
    <t>PVC, polymerized (comment)?</t>
  </si>
  <si>
    <t>EU28: Plywood board</t>
  </si>
  <si>
    <t>Folding boxboard</t>
  </si>
  <si>
    <t>EU28: Carton from folding boxboard</t>
  </si>
  <si>
    <t>Mousse</t>
  </si>
  <si>
    <t>EU28: Expanded polyethylene foam</t>
  </si>
  <si>
    <t>Flat pallet</t>
  </si>
  <si>
    <t>RER: Polyethylene film (PE-LD)</t>
  </si>
  <si>
    <t>Papier Gauffre</t>
  </si>
  <si>
    <t>EU25: Graphic paper</t>
  </si>
  <si>
    <t>Film Plastique</t>
  </si>
  <si>
    <t>Surtec 650</t>
  </si>
  <si>
    <t>Passivation CrVI, steel sheet, processing - adapté en remplaçant le sodium dichromate (CrVI) par du Chromite ore</t>
  </si>
  <si>
    <t>Cable model</t>
  </si>
  <si>
    <t xml:space="preserve">70% EU25: Copper wire
30%: DE: PTFE granulate </t>
  </si>
  <si>
    <t>Support + Clamp</t>
  </si>
  <si>
    <t>50% INOX 50% PA66</t>
  </si>
  <si>
    <t>Ceinture Sécurité</t>
  </si>
  <si>
    <t>80%INOX 20%Nylon</t>
  </si>
  <si>
    <t>Power box (COTS)</t>
  </si>
  <si>
    <t>Power supply unit, at plant, CN U (fit for mass needed)</t>
  </si>
  <si>
    <t>Screen Display (COTS)</t>
  </si>
  <si>
    <t>Display, liquid crystal, 17 inches {GLO} market for (fit for mass needed)</t>
  </si>
  <si>
    <t>Diode (COTS)</t>
  </si>
  <si>
    <t>Light emitting diode {GLO} market for APOS, U</t>
  </si>
  <si>
    <t>Keyboard (COTS)</t>
  </si>
  <si>
    <t>Keyboard {GLO} Market for APOS U</t>
  </si>
  <si>
    <t>50% PTFE - 50% Analog PCB</t>
  </si>
  <si>
    <t>Pas de petite télécommande trouvée -&gt; 50% PTFE - 50% Analog PCB</t>
  </si>
  <si>
    <t>70% Al 6000 - 30% Analog PCB</t>
  </si>
  <si>
    <t>Papier A4</t>
  </si>
  <si>
    <t>kraft paper {RER}| market for kraft paper | APOS, U</t>
  </si>
  <si>
    <t>Kerosène</t>
  </si>
  <si>
    <t>Cleaning (Spray and Wipe)</t>
  </si>
  <si>
    <t>2,5 mL/siège/semaine = 125 mL/siège/an</t>
  </si>
  <si>
    <t>All-purpose cleaners and sanitary cleaners (limites planétaires, 500mL) =&gt; Nettoyage/siège/an</t>
  </si>
  <si>
    <t>Wipe towel</t>
  </si>
  <si>
    <t>1 lingette/siège/vol = 700 lingettes/an</t>
  </si>
  <si>
    <t>EQUIPEMENT/FLUX</t>
  </si>
  <si>
    <t>MODELISATION</t>
  </si>
  <si>
    <t>PROCESSUS</t>
  </si>
  <si>
    <t>Quantité par siège (kg, kWh pour Energie)</t>
  </si>
  <si>
    <t>BtF</t>
  </si>
  <si>
    <t>Masse emb</t>
  </si>
  <si>
    <t>COPEAUX</t>
  </si>
  <si>
    <t>FIN DE VIE</t>
  </si>
  <si>
    <t>MASSE BRUT</t>
  </si>
  <si>
    <t>Devenir déchets de prod</t>
  </si>
  <si>
    <t>AREA m2</t>
  </si>
  <si>
    <t>TRAITEMENT / PEINTURE</t>
  </si>
  <si>
    <t>EMBALLAGE JETABLE</t>
  </si>
  <si>
    <t>EMBALLAGE NAVETTE</t>
  </si>
  <si>
    <t>QUANTITE</t>
  </si>
  <si>
    <t>Commentaire/question</t>
  </si>
  <si>
    <t>tonnes*km</t>
  </si>
  <si>
    <t>Recyclage</t>
  </si>
  <si>
    <t>USINAGE</t>
  </si>
  <si>
    <t>SENIOR AEROSPACE THAILAND LIMITED 20230 NHONGKHAM</t>
  </si>
  <si>
    <t xml:space="preserve">carton </t>
  </si>
  <si>
    <t>Ajouté à Alu 2017</t>
  </si>
  <si>
    <t>ajouté au Nylon</t>
  </si>
  <si>
    <t>CARTON</t>
  </si>
  <si>
    <t>MOULAGE COMPOSITES</t>
  </si>
  <si>
    <t>COMPOSITES</t>
  </si>
  <si>
    <t>SALAUNES 33161</t>
  </si>
  <si>
    <t>carton+palette</t>
  </si>
  <si>
    <t>SALAUNES 33162</t>
  </si>
  <si>
    <t>C'est quoi LAMINA EP12,7?</t>
  </si>
  <si>
    <t>NIDAFIC ECAR</t>
  </si>
  <si>
    <t>FILM COLLE</t>
  </si>
  <si>
    <t>PREPREG</t>
  </si>
  <si>
    <t>AERFILM</t>
  </si>
  <si>
    <t>SALAUNES 33163</t>
  </si>
  <si>
    <t>SALAUNES 33164</t>
  </si>
  <si>
    <t>PALETTE</t>
  </si>
  <si>
    <t>ENSEMBLE TETIERE</t>
  </si>
  <si>
    <t xml:space="preserve">18501 MEHUN SUR YEVRE </t>
  </si>
  <si>
    <t xml:space="preserve">papier gaufré +carton pour ensemble de pièces </t>
  </si>
  <si>
    <t xml:space="preserve">18502 MEHUN SUR YEVRE </t>
  </si>
  <si>
    <t xml:space="preserve">18503 MEHUN SUR YEVRE </t>
  </si>
  <si>
    <t xml:space="preserve">18504 MEHUN SUR YEVRE </t>
  </si>
  <si>
    <t xml:space="preserve">18505 MEHUN SUR YEVRE </t>
  </si>
  <si>
    <t xml:space="preserve">18506 MEHUN SUR YEVRE </t>
  </si>
  <si>
    <t xml:space="preserve">18507 MEHUN SUR YEVRE </t>
  </si>
  <si>
    <t>PAPIER GAUFFRE</t>
  </si>
  <si>
    <t>VILLENEUVE SUR LOT 47301</t>
  </si>
  <si>
    <t xml:space="preserve">Carton bois + calage mousse </t>
  </si>
  <si>
    <t>VILLENEUVE SUR LOT 47302</t>
  </si>
  <si>
    <t>VILLENEUVE SUR LOT 47303</t>
  </si>
  <si>
    <t>VILLENEUVE SUR LOT 47304</t>
  </si>
  <si>
    <t>VILLENEUVE SUR LOT 47305</t>
  </si>
  <si>
    <t>0,454 kg =kydex
0,259=Nylon</t>
  </si>
  <si>
    <t>VILLENEUVE SUR LOT 47306</t>
  </si>
  <si>
    <t>VILLENEUVE SUR LOT 47307</t>
  </si>
  <si>
    <t>BOIS</t>
  </si>
  <si>
    <t>Nylon</t>
  </si>
  <si>
    <t xml:space="preserve">18508 MEHUN SUR YEVRE </t>
  </si>
  <si>
    <t xml:space="preserve">18509 MEHUN SUR YEVRE </t>
  </si>
  <si>
    <t>carton bois + calag mousse</t>
  </si>
  <si>
    <t>0,059kg en kydex (décor)
0,04 en Nylon</t>
  </si>
  <si>
    <t>carton bois+ calage mousse</t>
  </si>
  <si>
    <t>CINTRAGE / TÔLERIE</t>
  </si>
  <si>
    <t>65101 ADE</t>
  </si>
  <si>
    <t>carton+palette+(papier gaufré/papier bulle)</t>
  </si>
  <si>
    <t>65102 ADE</t>
  </si>
  <si>
    <t>65103 ADE</t>
  </si>
  <si>
    <t>PAPIER BULLE</t>
  </si>
  <si>
    <t>TÔLERIE</t>
  </si>
  <si>
    <t>44118 ST ANDRE DES EAUX</t>
  </si>
  <si>
    <t>carton bois = calage mousse</t>
  </si>
  <si>
    <t>2/3</t>
  </si>
  <si>
    <t>44119 ST ANDRE DES EAUX</t>
  </si>
  <si>
    <t>44120 ST ANDRE DES EAUX</t>
  </si>
  <si>
    <t>BOOS NORMANDIE 76521</t>
  </si>
  <si>
    <t>Bois + calage avec protection</t>
  </si>
  <si>
    <t>OAS NOIR</t>
  </si>
  <si>
    <t>BOOS NORMANDIE 76522</t>
  </si>
  <si>
    <t>BOOS NORMANDIE 76523</t>
  </si>
  <si>
    <t>BOOS NORMANDIE 76524</t>
  </si>
  <si>
    <t>BOOS NORMANDIE 76525</t>
  </si>
  <si>
    <t>BOOS NORMANDIE 76526</t>
  </si>
  <si>
    <t>BOOS NORMANDIE 76527</t>
  </si>
  <si>
    <t xml:space="preserve">carton bois + calage mousse </t>
  </si>
  <si>
    <t>44121 ST ANDRE DES EAUX</t>
  </si>
  <si>
    <t>44122 ST ANDRE DES EAUX</t>
  </si>
  <si>
    <t>USINAGE TÔLERIE</t>
  </si>
  <si>
    <t>Carton bois + calage mousse</t>
  </si>
  <si>
    <t>BOOS NORMANDIE 76528</t>
  </si>
  <si>
    <t>USINAGE PLIAGES INJECTE</t>
  </si>
  <si>
    <t>Carton  + intercalaires</t>
  </si>
  <si>
    <t>PAPIER INTERCALAIRE</t>
  </si>
  <si>
    <t>BORDEAUX 33371</t>
  </si>
  <si>
    <t>BORDEAUX 33372</t>
  </si>
  <si>
    <t>BORDEAUX 33373</t>
  </si>
  <si>
    <t>carton + papier gaufré</t>
  </si>
  <si>
    <t>USINAGE / PLIAGE</t>
  </si>
  <si>
    <t>carton bois + calage mousse</t>
  </si>
  <si>
    <t>VILLENEUVE SUR LOT 47308</t>
  </si>
  <si>
    <t>VILLENEUVE SUR LOT 47309</t>
  </si>
  <si>
    <t xml:space="preserve">carton bois </t>
  </si>
  <si>
    <t>TRAIN</t>
  </si>
  <si>
    <t>carton + palette+calage kraft</t>
  </si>
  <si>
    <t>PAPIER KRAFT</t>
  </si>
  <si>
    <t>ENSEMBLE PORTE</t>
  </si>
  <si>
    <t>USINAGE TÔLERIE + THERMO</t>
  </si>
  <si>
    <t>caisse bois + calage mousse</t>
  </si>
  <si>
    <t>SELLERIE</t>
  </si>
  <si>
    <t>carton + Papier kraft</t>
  </si>
  <si>
    <t>VELOURS</t>
  </si>
  <si>
    <t xml:space="preserve">carton + Papier kraft </t>
  </si>
  <si>
    <t>carton + Papier kaft</t>
  </si>
  <si>
    <t>Carton + Papier Kraft</t>
  </si>
  <si>
    <t>BRACKETS-SET (cables)</t>
  </si>
  <si>
    <t>Sac plastique et papier bulle pour connecteurs</t>
  </si>
  <si>
    <t>FILM PLASTIQUE</t>
  </si>
  <si>
    <t>Grand sac plastique + carton (gros conditionnement) -&gt; reconditionnement plastique (100)
Hyp passer sur du plastique compostable</t>
  </si>
  <si>
    <t>AM SAFE</t>
  </si>
  <si>
    <t>Papier bulle + Carton</t>
  </si>
  <si>
    <t>Angleterre</t>
  </si>
  <si>
    <t>ULTRA LEATHER SMOKE</t>
  </si>
  <si>
    <t>Carton + plastique</t>
  </si>
  <si>
    <t>PAPIER/FAUTEUIL</t>
  </si>
  <si>
    <t>PACKAGING FAUTEUIL</t>
  </si>
  <si>
    <t>Jeté</t>
  </si>
  <si>
    <t>DONNEES (MO/siège)</t>
  </si>
  <si>
    <t>ENERGIE INFRASTRUCTURES (Elec, kWh/siège)</t>
  </si>
  <si>
    <t>ENERGIE INFRASTRUCTURES (Gaz, kWh/siège)</t>
  </si>
  <si>
    <t>Consommation passive siège (kg Kerosène)</t>
  </si>
  <si>
    <t>NETTOYAGE</t>
  </si>
  <si>
    <t>Spray</t>
  </si>
  <si>
    <t>Maintenance - Remplacement</t>
  </si>
  <si>
    <t>MASSE PAR DENSITE</t>
  </si>
  <si>
    <t>DIMENSION BRUT</t>
  </si>
  <si>
    <t>FJKL1-1B2000-01ASTR</t>
  </si>
  <si>
    <t>TOTAL MASSE</t>
  </si>
  <si>
    <t>FJKL1-1B2001-01CP01 - FLASQUE G</t>
  </si>
  <si>
    <t>690x310x40</t>
  </si>
  <si>
    <t>FJKL1-1B2001-02CP01 - FLASQUE D</t>
  </si>
  <si>
    <t>FJKL1-1B2002-01CP01 - TRAVERSE BASSE FIXE</t>
  </si>
  <si>
    <t>306x106x30</t>
  </si>
  <si>
    <t>FJKL1-1B2104-01CP01 - TRAVERSE ACTIONNEUR</t>
  </si>
  <si>
    <t>334x159x20</t>
  </si>
  <si>
    <t>FJKL1-1B2105-01CP01 - BUTEE LATERALE (x2)</t>
  </si>
  <si>
    <t>102x50x8</t>
  </si>
  <si>
    <t>DECOUPE LASER</t>
  </si>
  <si>
    <t>FJKL1-1B2006-01CP01 - FERRURE ACTIONNEUR (x2)</t>
  </si>
  <si>
    <t>90x82x38</t>
  </si>
  <si>
    <t>FJKL1-1B2007-01CP01 - BAGUE CENTRALE ACTIONNEUR</t>
  </si>
  <si>
    <t>FJKL1-1B2008-01CP01 - CALE GALET (x2)</t>
  </si>
  <si>
    <t>MS21209F4-10 - INSERT HELICOIL 6.35 (x10)</t>
  </si>
  <si>
    <t xml:space="preserve">MS21209F4-15 - FILET RAPP INOX D6.35 L9.5  PFIN (x8) </t>
  </si>
  <si>
    <t>03195-102808050 - AXE DE FIXATION AVEC ANNEAU</t>
  </si>
  <si>
    <t>KRV26X - GALET DE CAME D26 (x2)</t>
  </si>
  <si>
    <t xml:space="preserve">NAS1149F0432P - Rondelle DI=6.72 DE=12.7 ep=0.8 (x16) </t>
  </si>
  <si>
    <t xml:space="preserve">NAS1801-4-10 - VIS TH ACIER D6.35 L15.8 (x8) </t>
  </si>
  <si>
    <t>NAS1801-4-11 - VIS TH D=6.35 L=17.46 (x2)</t>
  </si>
  <si>
    <t>NAS1801-4-14 - VIS TH ACIER D6.35 L22.2 (x4)</t>
  </si>
  <si>
    <t>NAS1801-4-16 - VIS TH D6.3 L25.6 (x2)</t>
  </si>
  <si>
    <t>NAS1352-06-10P - VIS CHC DIA=3.5 L=15.87</t>
  </si>
  <si>
    <t>DIN6325-6X18 - GOUPILLE CYLINDRIQUE D6 L18 (x4)</t>
  </si>
  <si>
    <t>FJNS1-1C1012-31SPC - PATIN DE GLISSEMENT (x2)</t>
  </si>
  <si>
    <t>ENS STRUCTURE MOBILE</t>
  </si>
  <si>
    <t>FJKL1-1C1000-01ASTR</t>
  </si>
  <si>
    <t>FJKL1-1C1101-01CP01 - FLASQUE G</t>
  </si>
  <si>
    <t>676x206x22</t>
  </si>
  <si>
    <t>FJKL1-1C1101-02CP01 - FLASQUE D</t>
  </si>
  <si>
    <t>FJKL1-1C1010-01CP01 - CALE FLASQUE (x2)</t>
  </si>
  <si>
    <t>NAS1149D0332H - RONDELLE DI=5.16 DE=11.12 ep=0.8</t>
  </si>
  <si>
    <t>ABS1423-32-4 - COLONNETTE D4.82 L12.7</t>
  </si>
  <si>
    <t>FJKL1-1C1107-01CP01 - ASSISE FAUTEUIL ARRIERE</t>
  </si>
  <si>
    <t>462x192x12</t>
  </si>
  <si>
    <t>FJKL1-1C1108-01CP01 - ASSISE FAUTEUIL AVANT</t>
  </si>
  <si>
    <t>462x248x12</t>
  </si>
  <si>
    <t>FJKL1-1C1104-01CP01 - TRAVERSE</t>
  </si>
  <si>
    <t>302x220x22</t>
  </si>
  <si>
    <t>FJKL1-1C1003-01CP01 - CALE GALET (x2)</t>
  </si>
  <si>
    <t>FJKL1-1C1006-01CP01 - FERRURE ANTI-ROTATION CEINTURE (x2)</t>
  </si>
  <si>
    <t>FJKL1-1C1005-01CP01 - AXE CEINTURE (x2)</t>
  </si>
  <si>
    <t>FJKL1-1C1002-01CP01 - GALET ANTI-ROTATION (x4)</t>
  </si>
  <si>
    <t>MS21209F1-20 - HELICOIL D=4.82 L=9.84 (x18)</t>
  </si>
  <si>
    <t>CPN28ZS03 - GALET (x8)</t>
  </si>
  <si>
    <t>NAS1149FN516P - Rondelle DI=3.55 DE=11.2 EP=0.4 (x12)</t>
  </si>
  <si>
    <t>TAPD46BS - RIVET POP TB DIA=3.2 L=8 (x12)</t>
  </si>
  <si>
    <t>NAS1801-3-8 - VIS TH ACIER D4.82 L12.7 (x18)</t>
  </si>
  <si>
    <t>NAS603-6P - VIS TB DIA=4.82 L=9.65 (x6)</t>
  </si>
  <si>
    <t>NAS1149F0332P - Rondelle DI=5.16 DE=11.12 ep=0.8 (x18)</t>
  </si>
  <si>
    <t>NAS514P1032-12 - VIS TF DIA=4.82 L=19.05 (x4)</t>
  </si>
  <si>
    <t>DIN6325-6X18 - GOUPILLE CYLINDRIQUE D6 L18 (x2)</t>
  </si>
  <si>
    <t>NAS600-5P - VIS ACIER TB D2.84 L7.8 (x2)</t>
  </si>
  <si>
    <t>NAS509-10 - ECROU DIA=15.87 (x2)</t>
  </si>
  <si>
    <t>MS21042-04 - ECROU AF H INOX D2.8 (x2)</t>
  </si>
  <si>
    <t>NAS602-5P - Vis TB DIA = 4.16 L = 7.87 (x2)</t>
  </si>
  <si>
    <t>NAS603-16P - VIS TB D4.82 L25.4</t>
  </si>
  <si>
    <t>FJKL1-1C1107-01CP02 - VELCRO ADH CROCHET L25 BLANC BINDER (x6)</t>
  </si>
  <si>
    <t>NSA935504-01_FL01 - SUPPORT CABLAGE PA6.6 1D16</t>
  </si>
  <si>
    <t>NSA5527-03-01 - ENTRETOISE DIA=12/5 L=12.7</t>
  </si>
  <si>
    <t>ENS STRUCTURE DOSSIER</t>
  </si>
  <si>
    <t>FJKL1-1E1000-01ASTR</t>
  </si>
  <si>
    <t>FJKL1-1E1105-01CP01 - CHAPE TRAVERSE DOSSIER</t>
  </si>
  <si>
    <t>114x42x401</t>
  </si>
  <si>
    <t>FJKL1-1E1002-01CP01 - BRAS GAUCHE</t>
  </si>
  <si>
    <t>711x159x22</t>
  </si>
  <si>
    <t>FJKL1-1E1002-02CP01 - BRAS DROIT</t>
  </si>
  <si>
    <t>FJKL1-1E1003-01CP01 - PLAQUE</t>
  </si>
  <si>
    <t>362x359x22</t>
  </si>
  <si>
    <t>FJKL1-1E1104-01CP01 - TRAVERSE DOSSIER</t>
  </si>
  <si>
    <t>359x95x22</t>
  </si>
  <si>
    <t>FJKL1-1E1004-01CP01 - TOLE</t>
  </si>
  <si>
    <t>GCT01-1322S01 - RAIL CIRCULAIRE (x2)</t>
  </si>
  <si>
    <t>NSA5326-01 - GOUPILLE BETA (x2)</t>
  </si>
  <si>
    <t>MS21209F1-20 - HELICOIL D=4.82 L=9.84 (x8)</t>
  </si>
  <si>
    <t>MS21209F4-20 - FILET RAPP INOX D6.35 L12.7  PFIN (x14)</t>
  </si>
  <si>
    <t>MS21209F4-15 - FILET RAPP INOX D6.35 L9.5  PFIN (x4)</t>
  </si>
  <si>
    <t>MS21209C0810 - FILET RAPP INOX D4.2 L4.2</t>
  </si>
  <si>
    <t>FJKL1-1E1005-01ASTR - AXE BIELLE (x2)</t>
  </si>
  <si>
    <t>FJDT1-2E1013-31SPC-PION (x4)</t>
  </si>
  <si>
    <t>NAS603-6P - VIS TB DIA=4.82 L=9.65 (x4)</t>
  </si>
  <si>
    <t>NAS1801-3-20 - Vis tete cylindrique dia4.83mm L31.75mm (x4)</t>
  </si>
  <si>
    <t>NAS1149F0332P - Rondelle DI=5.16 DE=11.12 ep=0.8 (x4)</t>
  </si>
  <si>
    <t>NAS1351-4-10 - VIS CHC DIA=6.35 L=15.9 (x12)</t>
  </si>
  <si>
    <t>NAS1149FN516P - Rondelle DI=3.55 DE=11.2 EP=0.4 (x38)</t>
  </si>
  <si>
    <t>NAS1149F0432P - Rondelle DI=6.72 DE=12.7 ep=0.8 (x4)</t>
  </si>
  <si>
    <t>NAS604-16P - VIS TB D6.35 L25.4 (x4)</t>
  </si>
  <si>
    <t>DIN6325-6X18 - GOUPILLE CYLINDRIQUE D6 L18 (x8)</t>
  </si>
  <si>
    <t>NAS1149F0432P - Rondelle DI=6.72 DE=12.7 ep=0.8 (x2)</t>
  </si>
  <si>
    <t>TAPD46BS - RIVET POP TB DIA=3.2 L=8 (x42)</t>
  </si>
  <si>
    <t>TAPD410BS - RIVET POP TB D3.2 L11.5 (x8)</t>
  </si>
  <si>
    <t>FJKL1-1E1004-01CP02 - VELCRO ADH CROCHET L25 BLANC BINDER</t>
  </si>
  <si>
    <t>FJKL1-1E1003-01CP03 - VELCRO ADH CROCHET L20 BLANC BINDER</t>
  </si>
  <si>
    <t>FJKL1-1E1003-01CP04 - RUBAN ACC ADH VELOUR BLANC L25</t>
  </si>
  <si>
    <t>ENS BIELLE DOSSIER (x2)</t>
  </si>
  <si>
    <t>FJKL1-1C2000-01ASTR</t>
  </si>
  <si>
    <t>FJKL1-1C2000-01CP01 - BIELLE</t>
  </si>
  <si>
    <t>PAF12070P11 - BAGUE EPAULEE D12 H7 (x2)</t>
  </si>
  <si>
    <t>EGF08055E40Y - BAGUE EPAUL D8 H5.5 (x4)</t>
  </si>
  <si>
    <t>ENS CHARIOT ACTIONNEUR</t>
  </si>
  <si>
    <t>FJKL1-1C3000-01ASTR</t>
  </si>
  <si>
    <t>FJKL1-1C3001-01CP01 - CORPS CHARIOT</t>
  </si>
  <si>
    <t>FJSA1-1C1321-31SPC - CALE (x2)</t>
  </si>
  <si>
    <t>DAN125-4_SPC - RONDELLE F/90 D8/16 (x2)</t>
  </si>
  <si>
    <t>FJKL1-1C3002-02CP01 - BIELLE DROITE CHARIOT</t>
  </si>
  <si>
    <t>FJKL1-1C3002-01CP01 - BIELLE GAUCHE CHARIOT</t>
  </si>
  <si>
    <t>FJSA1-1C1322-31SPC - AXE GALET (x2)</t>
  </si>
  <si>
    <t>MS21209F1-10 - FILE RAPPORTE D=4.82 L=4.82 (x2)</t>
  </si>
  <si>
    <t>NAS517-4-6 - Vis TF cruci D=6.35 L=21.4 (x4)</t>
  </si>
  <si>
    <t>NAS514P832-6 - Vis TF D=4.16mm L=9.525mm (x2)</t>
  </si>
  <si>
    <t>NAS514P1032-7 - VIS TF DIA=4.82 L=11.11 (x2)</t>
  </si>
  <si>
    <t>ENS ACTIONNEUR</t>
  </si>
  <si>
    <t>FJKL1-1C4000-01ASTR</t>
  </si>
  <si>
    <t>CHATEAUROUX 36000</t>
  </si>
  <si>
    <t>FJKL1-1C4002-01CP01 - CHAPE CHARIOT (x2)</t>
  </si>
  <si>
    <t>FJSA1-1J1700-60CP10 - P35502M010</t>
  </si>
  <si>
    <t>FJKL1-1C4003-01CP01 - TOLE SUPPORT ROUTING</t>
  </si>
  <si>
    <t>FJKL1-1C4001-01ASTR - AXE (x2)</t>
  </si>
  <si>
    <t>EGF08055E40Y - BAGUE EPAUL D8 H5.5 (x2)</t>
  </si>
  <si>
    <t>NSA5326-01 - Goupille beta (x2)</t>
  </si>
  <si>
    <t>22719BC080031L - AXE LISSE DIA=8 L=31 (x2)</t>
  </si>
  <si>
    <t>NAS602-4P - VIS TB D4.16 L6.35 (x6)</t>
  </si>
  <si>
    <t>NAS1801-08-12 - VIS TH ACIER D4.16 L19 (x4)</t>
  </si>
  <si>
    <t>NAS1801-08-12 - VIS TH ACIER D4.16 L19 (x5)</t>
  </si>
  <si>
    <t>NAS1149F0532P - Rondelle DI=8.3 DE=14.3 EP=0.8 (x2)</t>
  </si>
  <si>
    <t>FUKL1-7AE001-01CP01 - Vis PGA</t>
  </si>
  <si>
    <t>DCJ19-1AE001-31CP01 - VIS PGA HORIZON</t>
  </si>
  <si>
    <t>NAS602-6P - Vis TB cruci D=4.16 L=9.9</t>
  </si>
  <si>
    <t>CORPS</t>
  </si>
  <si>
    <t>ENS DECRABOTAGE</t>
  </si>
  <si>
    <t>FJKL1-1C5000-01ASTR</t>
  </si>
  <si>
    <t>TAPK33BS - Rivet pop Tf DIA=2.4 L=6 (x8)</t>
  </si>
  <si>
    <t>TAPD46BS - RIVET POP TB DIA=3.2 L=8 (x2)</t>
  </si>
  <si>
    <t>FJSA1-1C1235-01ASTR - SUPPORT DECRABOTAGE</t>
  </si>
  <si>
    <t>FJKL1-1C5001-01CP06 - TIGE FILETEE Tf 1c1233 CODICA</t>
  </si>
  <si>
    <t>NAS1801-06-6 - VIS TH ACIER D3.50 L9.6 (x2)</t>
  </si>
  <si>
    <t>NAS1149FN632P - RONDELLE PLATE ACIER55 9.5X3.8X0.8 (x2)</t>
  </si>
  <si>
    <t>MS21075L3N - ECROU PLAQ RED FLT AF LUB ACIER D4.8 (x2)</t>
  </si>
  <si>
    <t>MS21075L06N - ECROU A RIVER DIA=3.5 (x2)</t>
  </si>
  <si>
    <t>NAS603-8P - Vis Tb Dia=4.82 L=12.7 (x2)</t>
  </si>
  <si>
    <t>ISO4032M4 - ECROU TH M4</t>
  </si>
  <si>
    <t>FJKL1-1C5001-01CP03 - EMBOUT GAINE (x2)</t>
  </si>
  <si>
    <t>FJKL1-1C5001-01CP04 - ECROU (x2)</t>
  </si>
  <si>
    <t>50ASD - SAUTERELLE (P/N SUPPLIER: 50/ASD)</t>
  </si>
  <si>
    <t>FJKL1-1C5001-01FL01 - ENS CABLE DECRABOTAGE</t>
  </si>
  <si>
    <t>NAS514P632-5 - VIS TF DIA=3.5 L=7.93 (x2)</t>
  </si>
  <si>
    <t>MS21042-06 - ECROU AUTOFREINE DIA=3.5 (x2)</t>
  </si>
  <si>
    <t>FJKL1-1J1001-01FL01 - CHAINE PORTE CABLE</t>
  </si>
  <si>
    <t>FUKL1-1Q1001-01ASTR</t>
  </si>
  <si>
    <t>FUKL1-1Q1001-01CP01 - COQUE</t>
  </si>
  <si>
    <t>FUKL1-1Q1002-01CP01 - PANNEAU</t>
  </si>
  <si>
    <t>ST1-650-720-01_SPC - DOUILLE (x3)</t>
  </si>
  <si>
    <t>SL2334-3B2 - INSERT FLOTTANT D4.82 (x69)</t>
  </si>
  <si>
    <t>NAS1836-4-11 - INSERT BORGNE DIA=6.35 (x30)</t>
  </si>
  <si>
    <t>VBA4X30 - VIS VBA (x3)</t>
  </si>
  <si>
    <t>ST1-800-007-02_SPC - DOUILLE TRAVERSANTE D=5 L=12.7 (x2)</t>
  </si>
  <si>
    <t>FJKL1-1E2103-01CP01 - TOLE SUPPORT TETIERE</t>
  </si>
  <si>
    <t>FJKL1-1E2101-01ASTR - TOLE CENTRALE</t>
  </si>
  <si>
    <t>FJKL1-1E2102-01ASTR - TOLE LATERALE (x2)</t>
  </si>
  <si>
    <t>FJKL1-1E2111-01CP01 - TOLE (x2)</t>
  </si>
  <si>
    <t>FJKL1-1E2104-01CP01 - PIECE INTERFACE TILT</t>
  </si>
  <si>
    <t>TAPK42BS - RIVET POP TF D3.2 L5.5 (x2)</t>
  </si>
  <si>
    <t>TL05-100-07 - LOQUET</t>
  </si>
  <si>
    <t>TL05-117-07 - BUTEE LOQUET</t>
  </si>
  <si>
    <t>FJKL1-1E2110-01ASTR - CHARNIERE (x2)</t>
  </si>
  <si>
    <t>MS21209F1-15 - FILET RAPPORTE D=4.82 L=7.2 (x4)</t>
  </si>
  <si>
    <t>FJKL1-1E2109-01CP01 - SRS9WMSS_100LM_G5_0_0_0_0_0_1_3</t>
  </si>
  <si>
    <t>FJKL1-1E2109-01CP02 - SRS9WMSS_100LM_G5_0_0_0_0_0_1_5</t>
  </si>
  <si>
    <t>TAPD46BS - RIVET POP TB DIA=3.2 L=8 (x6)</t>
  </si>
  <si>
    <t>TAPD48BS - RIVET POP TB D3.2 L9.5 (x6)</t>
  </si>
  <si>
    <t>MS21059-04 - ECROU A RIVER FLOTTANT DIA=2.8 (x4)</t>
  </si>
  <si>
    <t>22271BC030006L - VIS TC ACIER 35NC6 D3 L6 (x4)</t>
  </si>
  <si>
    <t>MS21059-3 - ECROU PLAQ FLT AF ACIER D4.8 (x2)</t>
  </si>
  <si>
    <t>NAS1352-04-6P - VIS CHC ACIER D2.8 L9.5 (x4)</t>
  </si>
  <si>
    <t>MS21042-3 - ECROU AUTOFREINE DIA=4.82 (x2)</t>
  </si>
  <si>
    <t>AN525-10R5 - VIS TB ACIER D4.82 L7.93 (x2)</t>
  </si>
  <si>
    <t>NAS1801-3-7 - VIS TH ACIER D4.82 L11.1 (x2)</t>
  </si>
  <si>
    <t>NAS602-10P - Vis TB DIA = 4.16 L = 15.74</t>
  </si>
  <si>
    <t>AN565A1032H6 - Vis HC DIA=4.82 L=9.52 (x2)</t>
  </si>
  <si>
    <t>E6-10-440F50_ASTR - CHARNIERE A FRICTION</t>
  </si>
  <si>
    <t>NSA5527-03-07 - ENTRETOISE DIA=12/5 L=3.6 (x2)</t>
  </si>
  <si>
    <t>FJKL1-1E2108-01CP01 - SANGLE</t>
  </si>
  <si>
    <t>FUKL1-2R1101-01CP01 - TABLETTE COCKTAIL</t>
  </si>
  <si>
    <t>1042x675x45</t>
  </si>
  <si>
    <t>FUKL1-2R1104-01CP01 - TOLE FERMETURE AVANT</t>
  </si>
  <si>
    <t>FUKL1-2R1105-01CP01 - SUPPORT CHARGEUR INDUCTIF</t>
  </si>
  <si>
    <t>FUKL1-2R1103-01CP01 - LISERE</t>
  </si>
  <si>
    <t>410x80x7</t>
  </si>
  <si>
    <t>MS21209F1-10 - FILE RAPPORTE D=4.82 L=4.82 (x33)</t>
  </si>
  <si>
    <t>MS21209F1-20 - HELICOIL D=4.82 L=9.84 (x4)</t>
  </si>
  <si>
    <t>MS21209C0420 - HELICOIL D2.8 L5.6</t>
  </si>
  <si>
    <t>2SRS12NSS620LM - RAIL (2SRS12NSS+620LM) (x2)</t>
  </si>
  <si>
    <t>NAS1352-04-4 - VIS CHC DIA=2.84 L=6.35 (x24)</t>
  </si>
  <si>
    <t>FUKL1-2R1105-01CP02 - VIS CHC DIA 2.18 L=6.35 NAS1351-02-4 (x4)</t>
  </si>
  <si>
    <t>NAS1801-3-5 - VIS TH ACIER D4.82 L7.9</t>
  </si>
  <si>
    <t>AN525-10R7 - VIS TB ACIER D4.82 L11.1</t>
  </si>
  <si>
    <t>812006X12 - VIS NYLON CHC M6 L12 (x2)</t>
  </si>
  <si>
    <t>FUKL1-2R1102-01CP01 - DECOR</t>
  </si>
  <si>
    <t>DCJ10-1J2700-6KCP01 - ENSEMBLE CHARGEUR INDUCTIF</t>
  </si>
  <si>
    <t>FUKL1-2R1000-01CP01 - 00-5261-01 REV C NFC PERIPHERAL UNIT (NPU)</t>
  </si>
  <si>
    <t>FUKL1-1T1208-01CP01 - CROCHET</t>
  </si>
  <si>
    <t>FUKL1-1T1206-01CP01 - TOLE FERMETURE PLATEAU</t>
  </si>
  <si>
    <t>FUKL1-2T1102-01CP01 - PLATEAU USINE</t>
  </si>
  <si>
    <t>520x402x25</t>
  </si>
  <si>
    <t>FUKL1-2T1104-01CP01 - TOLE</t>
  </si>
  <si>
    <t>550x120x15</t>
  </si>
  <si>
    <t>FUKL1-2T1303-01CP01 - SUPPORT AXES</t>
  </si>
  <si>
    <t>FUKL1-2T1307-01CP01 - PLATINE SUPPORT CROCHET</t>
  </si>
  <si>
    <t>TAPK33BS - Rivet pop Tf DIA=2.4 L=6 (x4)</t>
  </si>
  <si>
    <t>TAPK36BS - RIVET AVEUG TF D2.4 L8.5 (x3)</t>
  </si>
  <si>
    <t>FUKL1-2T1301-01CP01 - PLATEAU ARRIERE</t>
  </si>
  <si>
    <t>315x125x25</t>
  </si>
  <si>
    <t>FUKL1-2T1400-01CP01 - CHARIOT</t>
  </si>
  <si>
    <t>NS01-40-313 - RAIL L313 (P/N SUPPLIER: NS-01-40-313) (x2)</t>
  </si>
  <si>
    <t>FUKL1-1T1202-01CP01 - SUPPORT TOUCH LATCH</t>
  </si>
  <si>
    <t>TL1166P - TOUCH LATCH</t>
  </si>
  <si>
    <t>MS21209C0810 - FILET RAPP INOX D4.2 L4.2 (x6)</t>
  </si>
  <si>
    <t>A0040F040-150C - FILET RAP M4 L6 (x10)</t>
  </si>
  <si>
    <t>NAS1351-4-16 - VIS TC ACIER D6.3 L25.4 (x4)</t>
  </si>
  <si>
    <t>NAS1801-04-14 - VIS TH ACIER D2.84 L22.225 (x2)</t>
  </si>
  <si>
    <t>NAS1801-06-6 - VIS TH ACIER D3.50 L9.6</t>
  </si>
  <si>
    <t>NAS1801-08-6 - VIS D=4.16 L=9.52 (x8)</t>
  </si>
  <si>
    <t>NAS1149FN832P - RONDELLE PLATE ACIER55 9.5X4.4X0.8 (x16)</t>
  </si>
  <si>
    <t>NAS1149FN432P - Rondelle DI=3.2 DE=7.9 EP=0.8 (x2)</t>
  </si>
  <si>
    <t>MS21071L04 - ECROU A RIVER RED. DIA=2.8 (x2)</t>
  </si>
  <si>
    <t>MS21059-3 - ECROU PLAQ FLT AF ACIER D4.8 (x3)</t>
  </si>
  <si>
    <t>22271BC040008L - VIS TB DIA=4 L=8 (x10)</t>
  </si>
  <si>
    <t>L22271-40-10BCL - VIS TB DIA=4 L=10 (x10)</t>
  </si>
  <si>
    <t>NAS514P632-6 - VIS TF DIA=3.5 L=9.52</t>
  </si>
  <si>
    <t>NAS1149FN616P - Rondelle DI=3.8 DE=9.5 EP=0.4</t>
  </si>
  <si>
    <t>NSA5321-6 - CIRCLIPS</t>
  </si>
  <si>
    <t xml:space="preserve">22271BC030006L - VIS TC ACIER 35NC6 D3 L6 </t>
  </si>
  <si>
    <t>FUKL1-2T1302-01CP03 - DBB3_3_3 (x2)</t>
  </si>
  <si>
    <t>FUKL1-2T1304-01CP01 - AXE VERTICAL</t>
  </si>
  <si>
    <t>FUKL1-2T1308-01CP01 - BIELLE</t>
  </si>
  <si>
    <t>FUKL1-2T1309-01CP01 - AXE HORIZONTAL</t>
  </si>
  <si>
    <t>FUKL1-2T1302-01CP02 - RESSORT COMP (supplier ref : C.085.090.0200.AP)</t>
  </si>
  <si>
    <t>EGB0606E40 - Bague INA Di=6 De=8 L=6 (x2)</t>
  </si>
  <si>
    <t>NW02-40 - PATIN IGUS (x4)</t>
  </si>
  <si>
    <t>FUKL1-2T1302-01CP01 - UMBG3_10</t>
  </si>
  <si>
    <t>FUKL1-2T1104-01CP02 - FILM DECOR</t>
  </si>
  <si>
    <t>FUKL1-2T1305-01CP01 - BUTEE TABLETTE REPAS</t>
  </si>
  <si>
    <t>DCJ19-8R2100-01ASTR-EPURE</t>
  </si>
  <si>
    <t>DCJ19-8R2101-01CP03 - FACADE USINEE</t>
  </si>
  <si>
    <t>665x475x60</t>
  </si>
  <si>
    <t>FJKL1-1R4130-01CP01 - CASQUETTE USINEE</t>
  </si>
  <si>
    <t>620x460x22</t>
  </si>
  <si>
    <t>DCJ19-8R1010-01CP01 - PORTE CASQUE</t>
  </si>
  <si>
    <t>DCJ19-7R1023-01CP01 - PLATEAU USINE</t>
  </si>
  <si>
    <t>330x330x23</t>
  </si>
  <si>
    <t>DCJ19-8R1022-01CP03 - PORTE</t>
  </si>
  <si>
    <t>330x300x22</t>
  </si>
  <si>
    <t>DCJ19-8R1025-01CP01 - PROFIL DECOR</t>
  </si>
  <si>
    <t>ST7A30SA33_CP01 - CHARNIERE COUPLE CST 0.339NM (x2)</t>
  </si>
  <si>
    <t>DCJ19-8R1028-01CP01 - CHARNIERE</t>
  </si>
  <si>
    <t>DCJ19-8R1029-01CP01 - CHARNIERE</t>
  </si>
  <si>
    <t>70x70x20</t>
  </si>
  <si>
    <t>TAPK33BS - Rivet pop Tf DIA=2.4 L=6 (x16)</t>
  </si>
  <si>
    <t>FJKL1-1R4170-01CP01 - PATTE DE FIXATION (x3)</t>
  </si>
  <si>
    <t>FJKL1-1R4140-01CP01 - TOLE FERMETURE AMENITY</t>
  </si>
  <si>
    <t>DCJ19-8R1104-01CP04 - TOLE</t>
  </si>
  <si>
    <t>DCJ19-8R1024-01CP01 - TOLE PLIEE</t>
  </si>
  <si>
    <t>AMAZ2-135173-01SPC - AXE (x2)</t>
  </si>
  <si>
    <t>A0040F030100C - HELICOIL FREINE M3 L=3 (x2)</t>
  </si>
  <si>
    <t>MS21209F1-15 - FILET RAPPORTE D=4.82 L=7.2 (x13)</t>
  </si>
  <si>
    <t>MS21209C0420 - HELICOIL D2.8 L5.6 (x8)</t>
  </si>
  <si>
    <t>MS21209C0815 - FILET RAPP INOX D4.2 L6.2 (x6)</t>
  </si>
  <si>
    <t>MS21209F1-10 - FILE RAPPORTE D=4.82 L=4.82 (x3)</t>
  </si>
  <si>
    <t>MS21209C0820 - FILET RAPP INOX D4.2 L8.3</t>
  </si>
  <si>
    <t>FJKL1-1R4141-01CP01 - PASTILLE ACIER (x2)</t>
  </si>
  <si>
    <t>MS21059-3 - ECROU PLAQ FLT AF ACIER D4.8 (x7)</t>
  </si>
  <si>
    <t>MS21059-08 - ECROU A RIVER D=4,16 (x3)</t>
  </si>
  <si>
    <t>NAS1352-08-6P - VIS CHC D4.16 L9.52 (x5)</t>
  </si>
  <si>
    <t>NAS1149F0332P - Rondelle DI=5.16 DE=11.12 ep=0.8 (x16)</t>
  </si>
  <si>
    <t>NAS514P1032-6 - Vis TF D=4.82mm L=9.52mm (x5)</t>
  </si>
  <si>
    <t>NAS1149FN816P - Rondelle DI=4.42 DE=9.5 EP=0.4 (x2)</t>
  </si>
  <si>
    <t>NAS1801-08-6 - VIS D=4.16 L=9.52 (x2)</t>
  </si>
  <si>
    <t>NAS1352-04-4 - VIS CHC DIA=2.84 L=6.35 (x4)</t>
  </si>
  <si>
    <t>NAS514P632-4 - Vis Tf Dia=3.5 L=6.35 (x2)</t>
  </si>
  <si>
    <t>MS51576-17 - VIS EPAULEE DIA4.8 L13.5</t>
  </si>
  <si>
    <t>NAS1352-04-6 - VIS TC 6P ACIER D2.8 L9.5 (x4)</t>
  </si>
  <si>
    <t>NAS1801-3-6 - VIS TH ACIER D4.82 L9.5 (x5)</t>
  </si>
  <si>
    <t>NAS514P832-4 - VIS TF DIA=4.16 L=6.35 (x2)</t>
  </si>
  <si>
    <t>MS21059-3 - ECROU PLAQ FLT AF ACIER D4.8</t>
  </si>
  <si>
    <t>DCJ19-8R1006-01CP01 - GACHE DOUBLE LATCH</t>
  </si>
  <si>
    <t>DCJ19-8R1027-01CP01 - CALE PORTE</t>
  </si>
  <si>
    <t>DCJ19-8R1026-01CP01 - BUTEE</t>
  </si>
  <si>
    <t>DCJ19-1R4150-01CP01 - BOTTLE HOLDER</t>
  </si>
  <si>
    <t>FUKL1-2R7001-01CP01 - PANNEAU</t>
  </si>
  <si>
    <t>563x535x21</t>
  </si>
  <si>
    <t>FUKL1-2R7002-01CP01 - TOLE PLIEE</t>
  </si>
  <si>
    <t>FUKL1-2R7004-01CP01 - TOLE PLIEE</t>
  </si>
  <si>
    <t>FUKL1-2R7003-01CP01 - TOLE PLIEE</t>
  </si>
  <si>
    <t>MS21209F1-20 - HELICOIL D=4.82 L=9.84 (x23)</t>
  </si>
  <si>
    <t>MS21059-3 - ECROU PLAQ FLT AF ACIER D4.8 (x8)</t>
  </si>
  <si>
    <t>TAPK33BS - RIVET AVEUG TF D2.4 L6 (x16)</t>
  </si>
  <si>
    <t>NAS1149F0332P - RONDELLE PLATE ACIER55 11.1X5.1X0.8 (x14)</t>
  </si>
  <si>
    <t>NAS1801-3-6 - VIS TH ACIER D4.82 L9.5 (x3)</t>
  </si>
  <si>
    <t>NAS1801-3-5 - VIS TH ACIER D4.82 L7.9 (x11)</t>
  </si>
  <si>
    <t>DCJ19-2R7000-01CP01 - GOUJON SERTI FLUSH CAPTIVE CHE1032-6 (x2)</t>
  </si>
  <si>
    <t>NAS1801-3-8 - VIS TH ACIER D4.82 L12.7 (x2)</t>
  </si>
  <si>
    <t>FUKL1-1R9000-01CP02 - TUBE (x2)</t>
  </si>
  <si>
    <t>FUKL1-1R9000-01CP01 - TOLE PLIEE</t>
  </si>
  <si>
    <t>FUKL1-1R9000-01CP03 - TOLE PLIEE (x2)</t>
  </si>
  <si>
    <t>FUKL1-1R9000-01CP04 - TOLE (x2)</t>
  </si>
  <si>
    <t>FUKL1-1R9000-01CP05 - TOLE (x2)</t>
  </si>
  <si>
    <t>FUKL1-1R9000-01CP06 - TOLE (x2)</t>
  </si>
  <si>
    <t>NSA5067-3-1 - ECROU CLIP D=4.82 (x2)</t>
  </si>
  <si>
    <t>FJKL1-1L1300-01CP01 - TOLE PLIEE</t>
  </si>
  <si>
    <t>FJKL1-1L1300-01CP02 - TOLE PLIEE</t>
  </si>
  <si>
    <t>MS21059-3 - ECROU PLAQ FLT AF ACIER D4.8 (x4)</t>
  </si>
  <si>
    <t>TAPK33BS - RIVET AVEUG TF D2.4 L6 (x8)</t>
  </si>
  <si>
    <t>NAS1149FN316P - RONDELLE PLATE ACIER55 6.35 X 2.6 X 0.4 (x4)</t>
  </si>
  <si>
    <t>TAPD33BS - RIVET AVEUG TC D2.4 L5 (x4)</t>
  </si>
  <si>
    <t>FJKL1-1L1300-01CP03 - RUBAN VELOUR</t>
  </si>
  <si>
    <t>FUKL1-2B2004-01CP01 - PALETTE OPTIMISEE</t>
  </si>
  <si>
    <t>1390x780x30</t>
  </si>
  <si>
    <t>FUKL1-1B2014-01CP01 - CHAPE STUD</t>
  </si>
  <si>
    <t>FUKL1-1B2013-01 - Chape STUD Latérale</t>
  </si>
  <si>
    <t>FUKL1-1B2015-01 - Chape Arriere Stud ATTAX_4P</t>
  </si>
  <si>
    <t>TAPK33BS - Rivet pop Tf DIA=2.4 L=6 (x6)</t>
  </si>
  <si>
    <t>MS21059-08 - ECROU A RIVER D=4,16 2 PATTES (x3)</t>
  </si>
  <si>
    <t>MS21209F4-15 - FILET RAPP INOX D6.35 L9.5  PFIN (x24)</t>
  </si>
  <si>
    <t>MS21209F1-10 - FILET RAPPORTE D=4.82 L=4.82 (x7)</t>
  </si>
  <si>
    <t>MS21209F1-15 - FILET RAPPORTE D=4.82 L=7.2 (x11)</t>
  </si>
  <si>
    <t>MS21209C0810 - FILET RAPP INOX D4.2 L4.2 (x3)</t>
  </si>
  <si>
    <t>MS21209C0420 - HELICOIL D2.8 L5.6 (x2)</t>
  </si>
  <si>
    <t>NAS1102-4-18 - VIS TF D6.35 28.6MM (x12)</t>
  </si>
  <si>
    <t>NAS1149F0432P - Rondelle DI=6.72 DE=12.7 ep=0.8 (x15)</t>
  </si>
  <si>
    <t>MS21042-4 - ECROU AUTOFREINE DIA=6.35 (x15)</t>
  </si>
  <si>
    <t>505143909 -  FITTING SCREWED 2LIPS</t>
  </si>
  <si>
    <t>50T3R1002ZN - STUD ATTAX</t>
  </si>
  <si>
    <t>50T4R2003ZN - STUD</t>
  </si>
  <si>
    <t>FJDT1-1B0094-31SPC - AXE BLOC DE VERROUILLAGE (x3)</t>
  </si>
  <si>
    <t>FJVR1-1B0102-01 - RONDELLE (x6)</t>
  </si>
  <si>
    <t>FJNS3-1B0811-01 - RONDELLE CONIQUE (x6)</t>
  </si>
  <si>
    <t>FUKL1-2B2004-02CP01 - Cale Microplast (x2)</t>
  </si>
  <si>
    <t>FJKL1-1R9110-01CP01 - Habillage Accoudoir</t>
  </si>
  <si>
    <t>FJKL1-1R9230-01CP01 - Trappe ECU</t>
  </si>
  <si>
    <t>FJKL1-1R9210-01CP01 - Habillage Lateral</t>
  </si>
  <si>
    <t>FJKL1-1R9220-01CP01 - Capot Habillage Lateral</t>
  </si>
  <si>
    <t>FJKL1-1R9310-01CP01 - Porte Life Vest</t>
  </si>
  <si>
    <t>FJKL1-1R9440-01CP01 - Habillage Zone Laterale</t>
  </si>
  <si>
    <t>FJKL1-1R9410-01CP01 - Support Zone Laterale</t>
  </si>
  <si>
    <t>FJKL1-1R9420-01CP01 - Cache Life Vest</t>
  </si>
  <si>
    <t>FJKL1-1R9430-01CP01 - Jambe de Force Structure Laterale</t>
  </si>
  <si>
    <t>FJKL1-1R9330-01CP01 - Faux-Fond Life Vest</t>
  </si>
  <si>
    <t>FJKL1-1R9320-01CP01 - Charnière Partie Fixe</t>
  </si>
  <si>
    <t>FJKL1-1R9320-01CP02 - Charnière Partie Mobile</t>
  </si>
  <si>
    <t>FJNS1-1D1111-01CP01 - CROCHET (x2)</t>
  </si>
  <si>
    <t>TAPK44BS - RIVET POP TF D3.2 L7.5 (x3)</t>
  </si>
  <si>
    <t>TAPD46BS - RIVET POP TB DIA=3.2 L=8 (x4)</t>
  </si>
  <si>
    <t>TAPK46BS - RIVET POP TF D3.2 L9 (x2)</t>
  </si>
  <si>
    <t>NAS603-7P - VIS TCB ACIER160 D4.8 L11.1 (x10)</t>
  </si>
  <si>
    <t>NAS1149F0332P - Rondelle DI=5.16 DE=11.12 ep=0.8 (x13)</t>
  </si>
  <si>
    <t>NAS1801-3-5 - VIS TH ACIER D4.82 L7.9 (x4)</t>
  </si>
  <si>
    <t>NAS1801-3-6 - VIS TH ACIER D4.82 L9.5 (x6)</t>
  </si>
  <si>
    <t>NAS514P832-6 - Vis TF D=4.16mm L=9.525mm (x3)</t>
  </si>
  <si>
    <t>NAS514P1032-8 - VIS TF DIA=4.82 L=12.7 (x2)</t>
  </si>
  <si>
    <t>FJKL1-1R9000-01_Visserie Crochet</t>
  </si>
  <si>
    <t>NAS1149FN516P - Rondelle DI=3.55 DE=11.2 EP=0.4</t>
  </si>
  <si>
    <t>M5-4-3X10X0-5 - Rondelle Imperdable  DI=4.3 DE=10 EP=0.5 (x5)</t>
  </si>
  <si>
    <t>006605211404 - CAPUCHON NOIR (x7)</t>
  </si>
  <si>
    <t>006605100001 - RECEPTACLE CAPUCHON CACHE VIS TC (x7)</t>
  </si>
  <si>
    <t>FJKL1-2F2111-01CP01 - Plaque Arrière Accoudoir</t>
  </si>
  <si>
    <t>316x266x20</t>
  </si>
  <si>
    <t>FJKL1-1F2211-01CP01 - Structure Mobile Accoudoir</t>
  </si>
  <si>
    <t>320x152x31</t>
  </si>
  <si>
    <t>FJKL1-2F2121-01CP01 - Couvercle Accoudoir</t>
  </si>
  <si>
    <t>350x185x22</t>
  </si>
  <si>
    <t>FJKL1-1F2218-01CP01 - Structure Manchette</t>
  </si>
  <si>
    <t>390x117x20</t>
  </si>
  <si>
    <t>FJKL1-1F2001-01CP01 - Poignée Accoudoir</t>
  </si>
  <si>
    <t>FJKL1-1F2122-01CP01 - Support Galet</t>
  </si>
  <si>
    <t>FJKL1-1F2221-01CP01 - Support Galet</t>
  </si>
  <si>
    <t>FJKL1-1F2222-01CP01 - Contre-Plaque Galet</t>
  </si>
  <si>
    <t>FJKL1-1F2214-01CP01 - Loquet</t>
  </si>
  <si>
    <t>FJKL1-1F2215-01CP01 - Verrou</t>
  </si>
  <si>
    <t>ELFS20-285-17-5-17-5 - RAIL</t>
  </si>
  <si>
    <t>FJKL1-1F2113-01CP01 - Eclisse Accoudoir</t>
  </si>
  <si>
    <t>FJKL1-1F2217-01CP01 - Capot</t>
  </si>
  <si>
    <t>FJKL1-1F2219-01CP01 - Tirette</t>
  </si>
  <si>
    <t>FJKL1-1F2125-01CP01 - Equerre de Fixation</t>
  </si>
  <si>
    <t>FJKL1-1F2213-01CP01 - Plaque Jonction Patin</t>
  </si>
  <si>
    <t>FJKL1-1F2124-01CP01 - Equerre de Fixation</t>
  </si>
  <si>
    <t>FJKL1-1F2112-01CP01 - RAIL IGUS NS01-40</t>
  </si>
  <si>
    <t>TAPK36BS - RIVET AVEUG TF D2.4 L8.5 (x4)</t>
  </si>
  <si>
    <t>MS21075L06N -  ECROU A RIVER DIA=3.5 (x2)</t>
  </si>
  <si>
    <t>MS21209C0810 - FILET RAPP INOX D4.2 L4.2 (x7)</t>
  </si>
  <si>
    <t>MS21209C0815 - FILET RAPP INOX D4.2 L6.2 (x2)</t>
  </si>
  <si>
    <t>MS21209F1-15 - FILET RAPPORTE D=4.82 L=7.2 (x21)</t>
  </si>
  <si>
    <t>MS21209C0620 - HELICOIL DIA=3.5 (x5)</t>
  </si>
  <si>
    <t>MS21209C0610 - HELICOIL DIA=3.5 L=3.5 (x5)</t>
  </si>
  <si>
    <t>MS21209C0615 - HELICOIL 6-32UNC-NC L5.3 (x10)</t>
  </si>
  <si>
    <t>A0040F040-150C - FILET RAP M4 L6 (x6)</t>
  </si>
  <si>
    <t>NAS1149FN832P - RONDELLE PLATE ACIER55 9.5X4.4X0.8 (x5)</t>
  </si>
  <si>
    <t>NAS1149F0332P - Rondelle DI=5.16 DE=11.12 ep=0.8 (x29)</t>
  </si>
  <si>
    <t>NAS1801-3-6 - VIS TH ACIER D4.82 L9.5 (x13)</t>
  </si>
  <si>
    <t>L23111-40AGL - RONDELLE PLATE D4 (x15)</t>
  </si>
  <si>
    <t>NAS1801-3-8 -  VIS TH ACIER D4.82 L12.7 (x12)</t>
  </si>
  <si>
    <t>M5-4-3X10X0-5 - Rondelle Imperdable  DI=4.3 DE=10 EP=0.5 (x8)</t>
  </si>
  <si>
    <t>NAS1352-06-8P - VIS CHC DIA=3.5 L=12.7 (x13)</t>
  </si>
  <si>
    <t>NAS1801-08-5 - VIS TH ACIER D4.17 L7.9 (x2)</t>
  </si>
  <si>
    <t>NAS601-8P - VIS TB D3.5 L12.7 (x5)</t>
  </si>
  <si>
    <t>NAS1801-08-6 - VIS D=4.16 L=9.52 (x5)</t>
  </si>
  <si>
    <t>NAS514P1032-6 - Vis TF D=4.82mm L=9.52mm (x4)</t>
  </si>
  <si>
    <t>NAS514P1032-18 - Vis TF D=4.82mm L=28.57mm (x4)</t>
  </si>
  <si>
    <t>NAS1801-3-15 - VIS TH ACIER D4.82 L23.8 (x2)</t>
  </si>
  <si>
    <t>NAS514P1032-9 - VIS TF DIA=4.82 L=14.28 (x4)</t>
  </si>
  <si>
    <t>LFR50-5-4KDD - GALET (x4)</t>
  </si>
  <si>
    <t>NSA5527-03-14 - ENTRETOISE DIA=12/5 L=14 (x4)</t>
  </si>
  <si>
    <t>LFZ5 - AXE PRECOM (x4)</t>
  </si>
  <si>
    <t>NAS601-12P - VIS TB D3.5 L19.05 (x2)</t>
  </si>
  <si>
    <t>NSA5319-04-10 - Goupille elastique Dia=2.5 L=10 (x2)</t>
  </si>
  <si>
    <t>NAS1149FN832P - RONDELLE PLATE ACIER55 9.5X4.4X0.81 (x2)</t>
  </si>
  <si>
    <t>6325-4X16 - GOUPILLE CYLINDRIQUE D4 L16 (x2)</t>
  </si>
  <si>
    <t>NAS1352-06-6P - VIS CHC DIA=3.5 L=9.52 (x2)</t>
  </si>
  <si>
    <t>NW01-40 - CHARIOT IGUS SANS JEU</t>
  </si>
  <si>
    <t>007674090 - AXE DE GALET D5 LU9.8 (x2)</t>
  </si>
  <si>
    <t>001387928 - GALET DE RAIL LFR50/5-4-2Z D16/5 (x2)</t>
  </si>
  <si>
    <t>FJKL1-1F2010-01CP01 - RESSORT-U0900650220I</t>
  </si>
  <si>
    <t>NSA5319-04-12 - GOUPILLE ELASTIQUE DIA=2.5 L=12</t>
  </si>
  <si>
    <t>J3D1-66-245-552 - VERIN À GAZ BIBUS 6/15 C=245MM 40N</t>
  </si>
  <si>
    <t>FJKL1-1F2003-01CP01 - Axe Epaulée</t>
  </si>
  <si>
    <t>FJKL1-1F2212-01CP01 - Vis Epaulée</t>
  </si>
  <si>
    <t>FJKL1-1F2216-01CP01 - Vis Epaulée</t>
  </si>
  <si>
    <t>FJKL1-2F2123-01CP01 - Butée Accoudoir Mobile</t>
  </si>
  <si>
    <t>FJKL1-1F2002-01CP01 - Guide Poignée</t>
  </si>
  <si>
    <t>FUKL1-2N1001-01CP01 - TOLE (x4)</t>
  </si>
  <si>
    <t>INS29-10-32-6 - INSERT HEAT-ULTRASONIC 29 COURT 10-32</t>
  </si>
  <si>
    <t>NAS1149F0332P - RONDELLE PLATE ACIER55 11.1X5.1X0.8 (x8)</t>
  </si>
  <si>
    <t>NAS1801-3-6 - VIS TH ACIER D4.82 L9.5 (x8)</t>
  </si>
  <si>
    <t>FJKL1-1D1100-01CP01 - TOLE OTTOMAN</t>
  </si>
  <si>
    <t>FJKL1-1D1100-01CP02 - RENFORT 1 OTTOMAN</t>
  </si>
  <si>
    <t>FJKL1-1D1100-01CP03 - RENFORT 2 OTTOMAN</t>
  </si>
  <si>
    <t>FJKL1-1D1100-01CP05 - RENFORT 4 OTTOMAN</t>
  </si>
  <si>
    <t>FJKL1-1D1100-01CP04 - RENFORT 3 OTTOMAN</t>
  </si>
  <si>
    <t>FJKL1-1D1100-01CP06 - PLAQUE (x3)</t>
  </si>
  <si>
    <t>NAS1801-3-10 - VIS TH ACIER D4.82 L15.8 (x5)</t>
  </si>
  <si>
    <t>NAS514P1032-9 - VIS TF DIA=4.82 L=14.28 (x2)</t>
  </si>
  <si>
    <t>NAS1149F0363P - WASHER (x3)</t>
  </si>
  <si>
    <t>AN970-3 - RONDELLE DIA=5.1X22.2 EP=1.6 (x2)</t>
  </si>
  <si>
    <t>DAN125-5_SPC - RONDELLE F/90 D10/20 (x2)</t>
  </si>
  <si>
    <t>NAS1149FN516P - Rondelle DI=3.55 DE=11.2 EP=0.4 (x40)</t>
  </si>
  <si>
    <t>TAPD46BS - RIVET POP TB DIA=3.2 L=8 (x124)</t>
  </si>
  <si>
    <t>M5-4-3X12X0-5 - Rondelle Imperdable  DI=4.3 DE=12 EP=0.5</t>
  </si>
  <si>
    <t>FJKL1-1D1310-01CP01 - SUPPORT</t>
  </si>
  <si>
    <t>FJKL1-2N4102-01CP01 - Charniére Mobile Stowage Lateral</t>
  </si>
  <si>
    <t>FJKL1-2N4201-01CP01 - Chaniére Fixe Stowage Lateral</t>
  </si>
  <si>
    <t>FJKL1-2N4303-01CP01 - Pion Entretoise (x3)</t>
  </si>
  <si>
    <t>TAPK33BS - RIVET AVEUG TF D2.4 L6 (x4)</t>
  </si>
  <si>
    <t>MS21059-04 - ECROU A RIVER FLOTTANT DIA=2.8 (x2)</t>
  </si>
  <si>
    <t>FJKL1-2N4101-01CP01 - Tolerie Manchette Stowage Lateral</t>
  </si>
  <si>
    <t>DCJ19-2N4100-01CP01 - A27651-1-8</t>
  </si>
  <si>
    <t>FJKL1-2N4212-01CP01 - Equerre de Fixation 1</t>
  </si>
  <si>
    <t>FJKL1-2N4213-01CP01 - Equerre de Fixation 2</t>
  </si>
  <si>
    <t>FJKL1-2N4301-01CP01 - Equerre Rupteur</t>
  </si>
  <si>
    <t>FJKL1-2N4197-01CP01 - Poussoir à ressort _2B50-0031 (x2)</t>
  </si>
  <si>
    <t>FJKL1-2N4399-01CP01 - Ressort C.040.040.0200.N</t>
  </si>
  <si>
    <t>NSA5319-02-5 - GOUPILLE ELASTIQUE DIA=1.5 L=5 (x4)</t>
  </si>
  <si>
    <t>NAS514P1032-6 - Vis TF D=4.82mm L=9.52mm (x3)</t>
  </si>
  <si>
    <t>NAS600-9P - VIS ACIER  TB D2.84 L14.2 (x2)</t>
  </si>
  <si>
    <t>CLS832-2 - ECROU A RIVETER D4.16 (x2)</t>
  </si>
  <si>
    <t>TAPD410BS - RIVET POP TB D3.2 L11.5 (x3)</t>
  </si>
  <si>
    <t>NAS1801-04-5 - VIS TH ACIER D2.84 L8 (x2)</t>
  </si>
  <si>
    <t>FJKL1-2N4103-01CP01 - Axe Loquet Charniére Mobile Stowage Lateral (x2)</t>
  </si>
  <si>
    <t>FJKL1-2N4214-01CP01 - Anneau Latch</t>
  </si>
  <si>
    <t>FJKL1-2N4304-01CP01 - Ecrou Rupteur</t>
  </si>
  <si>
    <t>FJKL1-2N4211-01CP01 - Boitier Stowage Lateral</t>
  </si>
  <si>
    <t>FJKL1-2N4222-01CP01 - Contre-Fond 2</t>
  </si>
  <si>
    <t>FJKL1-2N4221-01CP01 - Contre-Fond 1</t>
  </si>
  <si>
    <t>FJKL1-2N4302-01CP01 - Butée Rupteur</t>
  </si>
  <si>
    <t>V7-1B10E9-207 - MICRO SWITCH</t>
  </si>
  <si>
    <t>FJKL1-2N4199-01CP01 - Mousse Coussin Manchette Stowage Lateral</t>
  </si>
  <si>
    <t>FJKL1-2N4198-01CP01 - Entoilage Manchette Stowage Lateral</t>
  </si>
  <si>
    <t>FUKL1-1F2300-01CP01 - TOLE MANCHETTE</t>
  </si>
  <si>
    <t>CLSS032-2 - ECROU A SERTIR D4.8  E1.4 (x4)</t>
  </si>
  <si>
    <t>FUKL1-1F2300-01CP02 - SURMOUSSAGE</t>
  </si>
  <si>
    <t>FUKL1-1F2300-01CP03 - ULTRALEATHER</t>
  </si>
  <si>
    <t>FUKL1-2F1000-03CP01 - Tole manchette</t>
  </si>
  <si>
    <t>TAPD33BS - RIVET AVEUG TC D2.4 L5 (x6)</t>
  </si>
  <si>
    <t>NAS1149FN316P - RONDELLE PLATE ACIER55 6.35 X 2.6 X 0.4 (x7)</t>
  </si>
  <si>
    <t>NAS514P1032-7 - VIS TF DIA=4.82 L=11.11 (x3)</t>
  </si>
  <si>
    <t>FUKL1-2F1000-04CP01 - VELCRO</t>
  </si>
  <si>
    <t>FUKL1-2F1000-05CP01 - VELCRO</t>
  </si>
  <si>
    <t>FUKL1-2F1001-01CP01 - Support manchete accoudoir</t>
  </si>
  <si>
    <t>FUKL1-2R7200-01CP01 - POLYCARBONATE 2MM</t>
  </si>
  <si>
    <t>FUKL1-2R2101-01CP02 - MONTANT DE PORTE</t>
  </si>
  <si>
    <t>1155X90X20</t>
  </si>
  <si>
    <t>FUKL1-2R2103-01CP01 - SUPPORT GALET</t>
  </si>
  <si>
    <t>FUKL1-2R2104-01CP01 - SUPPORT RAIL</t>
  </si>
  <si>
    <t>477x30x22</t>
  </si>
  <si>
    <t>FUKL1-2R2107-01CP03 - CROCHET (x2)</t>
  </si>
  <si>
    <t>FUKL1-2R2108-01CP01 - CAPING SUPERIEUR</t>
  </si>
  <si>
    <t>607x290x47</t>
  </si>
  <si>
    <t>FUKL1-2R2110-01CP01 - CACHE EPF</t>
  </si>
  <si>
    <t>FUKL1-2R2111-01CP01 - FERRURE SUP</t>
  </si>
  <si>
    <t>540x43x30</t>
  </si>
  <si>
    <t>FUKL1-2R2124-01ASTR - PLATINE EQUIPEE (x8)</t>
  </si>
  <si>
    <t>FUKL1-2R2126-01CP01 - ENTRETOISE (x2)</t>
  </si>
  <si>
    <t>FUKL1-2R2129-01CP01 - PLATINE</t>
  </si>
  <si>
    <t>FUKL1-2R2133-01CP01 - CHARIOT</t>
  </si>
  <si>
    <t>324x46x25</t>
  </si>
  <si>
    <t>FUKL1-2R2134-01CP01 - ENJOLIVEUR INFERIEUR</t>
  </si>
  <si>
    <t>58x56x29</t>
  </si>
  <si>
    <t>FUKL1-2R2135-01CP01 - TOLE SUPPORT PANNEAU</t>
  </si>
  <si>
    <t>117x90x19</t>
  </si>
  <si>
    <t>FUKL1-2R2144-01CP01 - PLATINE LIAISON LATCH</t>
  </si>
  <si>
    <t>FUKL1-2R2145-01CP01 - BUTEE ARRIERE PORTE</t>
  </si>
  <si>
    <t>FUKL1-2R2146-01CP01 - TOLE APPUI RAIL SUPERIEUR</t>
  </si>
  <si>
    <t>FUKL1-2R2148-01CP01 - EQUERRE</t>
  </si>
  <si>
    <t>FUKL1-2R2151-01CP01 - CAPEDGE ARRIERE</t>
  </si>
  <si>
    <t>600x30x20</t>
  </si>
  <si>
    <t>FUKL1-2R2141-01CP01 - FOURCHETTE</t>
  </si>
  <si>
    <t>DCJ19-4R1133-01CP01 - TOLE SUPPORT</t>
  </si>
  <si>
    <t>CLSS032-2 - ECROU A SERTIR D4.8  E1.4</t>
  </si>
  <si>
    <t>FUKL1-2R2105-01CP01 - SEMELLE</t>
  </si>
  <si>
    <t>FUKL1-2R2109-01CP01 - POIGNEE EPF</t>
  </si>
  <si>
    <t>FUKL1-2R2107-01CP01 - POIGNEE VERROUILLAGE (x2)</t>
  </si>
  <si>
    <t>FUKL1-2R2139-01CP01 - SUPPORT AMORTISSEUR</t>
  </si>
  <si>
    <t>FUKL1-2R2146-01CP02 - TOLE FIXATION CAPING</t>
  </si>
  <si>
    <t>FUKL1-2R2147-01CP01 - GOMMETTE</t>
  </si>
  <si>
    <t>A0040F060150C - FILET RAP M6 L9</t>
  </si>
  <si>
    <t>MS21209C0815 - FILET RAPP INOX D4.2 L6.2 (x12)</t>
  </si>
  <si>
    <t>MS21209F1-10 - FILE RAPPORTE D=4.82 L=4.82 (x22)</t>
  </si>
  <si>
    <t>MS21209C0410 - FILET RAP INOX D2.8 L3 (x16)</t>
  </si>
  <si>
    <t>MS21209C0615 - HELICOIL 6-32UNC-NC L5.3 (x3)</t>
  </si>
  <si>
    <t>MS21209C0610 - HELICOIL DIA=3.5 L=3.5 (x12)</t>
  </si>
  <si>
    <t>MS21209F06-15 - HELICOIL DIA=3.52 L=5.2 (x4)</t>
  </si>
  <si>
    <t>FUKL1-2R2100-01CP02 - 2SRS12WMSS493LM</t>
  </si>
  <si>
    <t>FUKL1-2R2120-01CP01 - RESSORT DE TORSION G.076.063.0325 (x2)</t>
  </si>
  <si>
    <t>FUKL1-2R2116-01CP01 - AXE CROCHET LATCH</t>
  </si>
  <si>
    <t>FUKL1-2R2138-01ASTR - AXE GALET CHARIOT (x2)</t>
  </si>
  <si>
    <t>FUKL1-2R2140-01CP01 - CABLE EPF</t>
  </si>
  <si>
    <t>FUKL1-2R2140-01CP02 - ECROU CABLE (x2)</t>
  </si>
  <si>
    <t>FUKL1-2R2142-01CP01 - AXE ACIER</t>
  </si>
  <si>
    <t>BACW10UC10 - RONDELLE  CUVETTE D5 F100 (x7)</t>
  </si>
  <si>
    <t>NAS1149F0332P - RONDELLE PLATE ACIER55 11.1X5.1X0.8 (x44)</t>
  </si>
  <si>
    <t>NAS1149FN432P - RONDELLE DI=3.2 DE=7.9 EP=0.8 (x22)</t>
  </si>
  <si>
    <t>NAS514P1032-8 - Vis TF D=4.82 L=12.7 (x8)</t>
  </si>
  <si>
    <t>NAS514P1032-4 - VIS TF DIA=4.82 L=6.35 (x3)</t>
  </si>
  <si>
    <t>NAS601-4P - VIS TC ACIER160 D3.5 L6.4</t>
  </si>
  <si>
    <t>NAS623-3-16 - VIS TB DIA=4.82 L=32.4 (x2)</t>
  </si>
  <si>
    <t>NAS623-3-18 -VIS TC ACIER160 D4.8 LL28.6 L35.6 (x2)</t>
  </si>
  <si>
    <t>NAS623-3-15 - VIS TB DIA=4.82 L=30.83 (x4)</t>
  </si>
  <si>
    <t>NAS679A3 - ECROU H LEGER AF ACIER D4.8 (x2)</t>
  </si>
  <si>
    <t>NAS1801-3-4 - VIS TH ACIER D4.82 L6.4 (x2)</t>
  </si>
  <si>
    <t>NAS1801-3-6 - VIS TH ACIER D4.82 L9.5 (x17)</t>
  </si>
  <si>
    <t>NAS1801-3-7 - VIS TH ACIER D4.82 L11.1 (x4)</t>
  </si>
  <si>
    <t>NAS1801-3-8 - VIS TH ACIER D4.82 L12.7 (x3)</t>
  </si>
  <si>
    <t>NAS1801-06-4 - VIS TH ACIER D3.50 L6.3 (x4)</t>
  </si>
  <si>
    <t>NAS1352-04-4 - VIS CHC DIA=2.84 L=6.35 (x20)</t>
  </si>
  <si>
    <t>NAS1352-06-12P - VIS CHC DIA=3.5 L=19.05</t>
  </si>
  <si>
    <t>NAS1352-08-6P - VIS CHC D4.16 L9.525 (x12)</t>
  </si>
  <si>
    <t>NAS1149F0632P - RONDELLE (x11)</t>
  </si>
  <si>
    <t>NAS514P632-6 - VIS TF DIA=3.5 L=9.52 (x2)</t>
  </si>
  <si>
    <t>CLS632-2 - ECROU A SERTIR D3.5</t>
  </si>
  <si>
    <t>MS21071L3 - ECROU PLAQ RED AF 1P LUB ACIER D4.8</t>
  </si>
  <si>
    <t>08900B0600X10 - DOUILLE DE PERCAGE D1=6 D2=10 L=10</t>
  </si>
  <si>
    <t>CLS632-3 - ECROU A SERTIR D3.5 E2 (x2)</t>
  </si>
  <si>
    <t>FUKL1-2R2109-01CP04 - 03040_06_0_Poussoirs à ressort</t>
  </si>
  <si>
    <t>FUKL1-2R2132-01CP02 - AIMANT AIP10X10X10 (x2)</t>
  </si>
  <si>
    <t>FUKL1-2R2132-01CP01 - Galets à came (x2)</t>
  </si>
  <si>
    <t>FUKL1-2R2143-01CP02 - POUSSOIR (x4)</t>
  </si>
  <si>
    <t>MS21059L06 - ECROU A RIVER FLT D3.5 (x4)</t>
  </si>
  <si>
    <t>FUKL1-2R2136-01CP01 - COLLERETTE GALET</t>
  </si>
  <si>
    <t>FUKL1-2R2115-01CP01 - AXE</t>
  </si>
  <si>
    <t>FUKL1-2R2114-01CP01 - TOLE SUPPORT AXE</t>
  </si>
  <si>
    <t>KRV16PP - AXE GALET ETAN D16/6 L28</t>
  </si>
  <si>
    <t>22271BC030006L - VIS TC ACIER 35NC6 D3 L6 (x8)</t>
  </si>
  <si>
    <t>22435BC060L - ECROU H ACIER 35NC6 D6 (x2)</t>
  </si>
  <si>
    <t>FPDM1-1B5001-31SPC - EMBOUT (x4)</t>
  </si>
  <si>
    <t>2,64e-004k</t>
  </si>
  <si>
    <t>DCJ19-4R1215-01CP05 - ENTRETOISE ØINT 5, ØEXT 7, L4</t>
  </si>
  <si>
    <t>FUKL1-2R2143-01CP01 - SUPPORT LATCH</t>
  </si>
  <si>
    <t>FUKL1-2R2121-01CP01 - ENTRETOISE d5.3 D10 L1 (x2)</t>
  </si>
  <si>
    <t>GSM-0506-05 - PALIER CYL d5 D6 L5 (x2)</t>
  </si>
  <si>
    <t>FUKL1-2R2201-01CP03 - 356_37_002_1 SUPPLIER HAFELE</t>
  </si>
  <si>
    <t>211-60001 - CLAMP (x6)</t>
  </si>
  <si>
    <t>RS6-0500-3 - GALET CAOUTCHOUC D12.7 (x8)</t>
  </si>
  <si>
    <t>FUKL1-2R2201-01CP01 - PORTE</t>
  </si>
  <si>
    <t>FUKL1-2R2202-01CP01 - TOLE</t>
  </si>
  <si>
    <t>FUKL1-2R2206-01CP01 - EQUERRE ANTI ROTATION</t>
  </si>
  <si>
    <t>FUKL1-2R2209-01CP01 - TOLE DECOR</t>
  </si>
  <si>
    <t>FUKL1-2R2210-01CP01 - POIGNEE EXTERIEURE</t>
  </si>
  <si>
    <t>FUKL1-2R2211-01CP01 - PROFILE</t>
  </si>
  <si>
    <t>FUKL1-2R2211-02ASTR - PROFILE_SYM</t>
  </si>
  <si>
    <t>FUKL1-2R2213-01CP01 - POIGNEE INTERIEURE</t>
  </si>
  <si>
    <t>DCJ19-4R1245-01CP01 - SUPPORT EMBOUT CABLE</t>
  </si>
  <si>
    <t>MS21209C0410 - FILET RAP INOX D2.8 L3 (x22)</t>
  </si>
  <si>
    <t>MS21209C0610 - HELICOIL DIA=3.5 L=3.5 (x3)</t>
  </si>
  <si>
    <t>FUKL1-2R2201-01CP02 - AXE VERROUILLAGE PORTE</t>
  </si>
  <si>
    <t>NAS514P440-4 - VIS TF DIA=2.8 L=6.35 (x21)</t>
  </si>
  <si>
    <t>NAS1801-06-5 - VIS TH ACIER D3.50 L7.9 (x3)</t>
  </si>
  <si>
    <t>NAS1149FN632P - RONDELLE PLATE ACIER55 9.5X3.8X0.8 (x3)</t>
  </si>
  <si>
    <t>MS21209F1-10 - FILET RAPPORTE D=4.82 L=4.82</t>
  </si>
  <si>
    <t>DCJ19-4R1241-01CP01 - AXE DE VERROUILLAGE EPF</t>
  </si>
  <si>
    <t>08900B0600X20 - DOUILLE DE PERCAGE D1=6 D2=10 L=20</t>
  </si>
  <si>
    <t>211-60001 - CLAMP</t>
  </si>
  <si>
    <t>FUKL1-2R2205-01CP01 - CLAVETTE</t>
  </si>
  <si>
    <t>FUKL1-2R2213-01CP02 - DECOR</t>
  </si>
  <si>
    <t>FUKL1-2R2207-01CP01 - HABILLAGE INTERIEUR</t>
  </si>
  <si>
    <t>FUKL1-2R2208-01CP01 - HABILLAGE EXTERIEUR</t>
  </si>
  <si>
    <t>FUKL1-2R2202-01CP02 - FILM DECOR</t>
  </si>
  <si>
    <t>FUKL1-2R2209-01CP02 - FILM DECOR</t>
  </si>
  <si>
    <t>FUKL1-2L1500-01CP01 - MOUSSE OTTOMAN STD</t>
  </si>
  <si>
    <t>FUKL1-2L1500-01CP02 - HOUSSE OTTOMAN STD</t>
  </si>
  <si>
    <t>FUKL1-2L1500-01CP05 - TISSU FLAP</t>
  </si>
  <si>
    <t>FUKL1-2L1500-01CP03 - VELOURS OTTOMAN STD</t>
  </si>
  <si>
    <t>FUKL1-2L1500-01CP04 - FLAP DECOMPRESSION</t>
  </si>
  <si>
    <t>FUKL1-1L1710-01CP01 - MOUSSE TETIERE</t>
  </si>
  <si>
    <t>FUKL1-1L1720-01CP01 - HOUSSE TETIERE</t>
  </si>
  <si>
    <t>FUKL1-1L1730-01CP01 - VELOUR</t>
  </si>
  <si>
    <t>FUKL1-1L1740-01CP01 - VELCRO CROCHET</t>
  </si>
  <si>
    <t>FUKL1-1L1611-01CP01 - MOUSSE DOSSIER VERSION TETIERE</t>
  </si>
  <si>
    <t>FUKL1-1L1621-01CP01 - HOUSSE DOSSIER VERSION TETIERE</t>
  </si>
  <si>
    <t>FUKL1-1L1111-01CP03 - VELCRO VELOUR L=50 (x2)</t>
  </si>
  <si>
    <t>FUKL1-1L1121-01CP04 - RUBAN ACC ADH VELOUR BLAN L=20</t>
  </si>
  <si>
    <t>FUKL1-1L1121-01CP06 - VELCRO VELOUR (x4)</t>
  </si>
  <si>
    <t>FUKL1-1L1121-01CP02 - VELCRO CROCHET (x2)</t>
  </si>
  <si>
    <t>FUKL1-1L1111-01CP01 - MOUSSE DOSSIER</t>
  </si>
  <si>
    <t>FUKL1-1L1121-01CP01 - HOUSSE DOSSIER</t>
  </si>
  <si>
    <t>FUKL1-1L1111-01CP03 - VELCRO VELOUR L=50</t>
  </si>
  <si>
    <t>FUKL1-1L1111-01CP04 - VELCRO VELOUR L=50</t>
  </si>
  <si>
    <t>FUKL1-1L1111-01CP02 - VELCRO VELOUR (x2)</t>
  </si>
  <si>
    <t>FUKL1-1L1121-01CP05 - VELCRO VELOUR (x2)</t>
  </si>
  <si>
    <t>FUKL1-1L1121-01CP06 - VELCRO VELOUR</t>
  </si>
  <si>
    <t>FUKL1-1L1121-01CP02 - VELCRO CROCHET</t>
  </si>
  <si>
    <t>FUKL1-1L1121-01CP07 - VELCRO CROCHET</t>
  </si>
  <si>
    <t>FUKL1-1L1211-01CP01 - MOUSSE ASSISE</t>
  </si>
  <si>
    <t>FUKL1-1L1221-01CP01 - HOUSSE ASSISE</t>
  </si>
  <si>
    <t>FUKL1-1L1221-01CP02 - VELCRO VELOUR</t>
  </si>
  <si>
    <t>FUKL1-1L1211-01CP02 - VELCRO VELOUR (x3)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</si>
</sst>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20"/>
      <color rgb="FFFF0000"/>
      <name val="Calibri"/>
      <family val="2"/>
      <scheme val="minor"/>
    </font>
    <font>
      <sz val="12"/>
      <color theme="1"/>
      <name val="Times New Roman"/>
      <family val="1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2"/>
      <color theme="1"/>
      <name val="Times New Roman"/>
      <family val="1"/>
    </font>
    <font>
      <b/>
      <sz val="20"/>
      <color theme="1"/>
      <name val="Calibri"/>
      <family val="2"/>
      <scheme val="minor"/>
    </font>
    <font>
      <b/>
      <sz val="11"/>
      <color rgb="FF2C2D2F"/>
      <name val="Arial"/>
      <family val="2"/>
    </font>
    <font>
      <b/>
      <sz val="12"/>
      <color rgb="FF2C2D2F"/>
      <name val="Arial"/>
      <family val="2"/>
    </font>
    <font>
      <b/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</fonts>
  <fills count="5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99C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FF66CC"/>
        <bgColor indexed="64"/>
      </patternFill>
    </fill>
    <fill>
      <patternFill patternType="solid">
        <fgColor rgb="FFFF33CC"/>
        <bgColor indexed="64"/>
      </patternFill>
    </fill>
    <fill>
      <patternFill patternType="solid">
        <fgColor rgb="FFCC0099"/>
        <bgColor indexed="64"/>
      </patternFill>
    </fill>
    <fill>
      <patternFill patternType="solid">
        <fgColor rgb="FF800080"/>
        <bgColor indexed="64"/>
      </patternFill>
    </fill>
    <fill>
      <patternFill patternType="solid">
        <fgColor rgb="FF7030A0"/>
        <bgColor indexed="64"/>
      </patternFill>
    </fill>
  </fills>
  <borders count="76">
    <border>
      <left/>
      <right/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auto="1"/>
      </left>
      <right style="medium">
        <color auto="1"/>
      </right>
      <top style="medium">
        <color indexed="64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/>
      <right style="medium">
        <color auto="1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1">
    <xf numFmtId="0" fontId="0" fillId="0" borderId="0"/>
  </cellStyleXfs>
  <cellXfs count="1186">
    <xf numFmtId="0" fontId="0" fillId="0" borderId="0" xfId="0"/>
    <xf numFmtId="0" fontId="0" fillId="0" borderId="0" xfId="0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2" xfId="0" applyBorder="1" applyAlignment="1">
      <alignment vertical="center"/>
    </xf>
    <xf numFmtId="0" fontId="0" fillId="0" borderId="8" xfId="0" applyBorder="1"/>
    <xf numFmtId="0" fontId="0" fillId="0" borderId="10" xfId="0" applyBorder="1"/>
    <xf numFmtId="0" fontId="1" fillId="0" borderId="11" xfId="0" applyFont="1" applyBorder="1"/>
    <xf numFmtId="0" fontId="0" fillId="0" borderId="4" xfId="0" applyBorder="1"/>
    <xf numFmtId="0" fontId="0" fillId="0" borderId="13" xfId="0" applyBorder="1"/>
    <xf numFmtId="0" fontId="0" fillId="0" borderId="14" xfId="0" applyBorder="1"/>
    <xf numFmtId="0" fontId="0" fillId="0" borderId="13" xfId="0" applyBorder="1" applyAlignment="1">
      <alignment horizontal="center" vertical="center"/>
    </xf>
    <xf numFmtId="0" fontId="1" fillId="0" borderId="0" xfId="0" applyFont="1" applyAlignment="1">
      <alignment vertical="center"/>
    </xf>
    <xf numFmtId="0" fontId="1" fillId="0" borderId="13" xfId="0" applyFont="1" applyBorder="1" applyAlignment="1">
      <alignment vertical="center"/>
    </xf>
    <xf numFmtId="0" fontId="1" fillId="3" borderId="8" xfId="0" applyFont="1" applyFill="1" applyBorder="1" applyAlignment="1">
      <alignment vertical="center"/>
    </xf>
    <xf numFmtId="0" fontId="0" fillId="3" borderId="8" xfId="0" applyFill="1" applyBorder="1" applyAlignment="1">
      <alignment horizontal="center"/>
    </xf>
    <xf numFmtId="0" fontId="1" fillId="3" borderId="9" xfId="0" applyFont="1" applyFill="1" applyBorder="1" applyAlignment="1">
      <alignment vertical="center"/>
    </xf>
    <xf numFmtId="0" fontId="0" fillId="0" borderId="0" xfId="0" applyAlignment="1">
      <alignment vertical="center"/>
    </xf>
    <xf numFmtId="0" fontId="1" fillId="0" borderId="19" xfId="0" applyFont="1" applyBorder="1" applyAlignment="1">
      <alignment horizontal="center" vertical="center"/>
    </xf>
    <xf numFmtId="0" fontId="0" fillId="0" borderId="21" xfId="0" applyBorder="1"/>
    <xf numFmtId="0" fontId="0" fillId="0" borderId="22" xfId="0" applyBorder="1"/>
    <xf numFmtId="0" fontId="1" fillId="0" borderId="19" xfId="0" applyFont="1" applyBorder="1" applyAlignment="1">
      <alignment horizontal="center" vertical="center" wrapText="1"/>
    </xf>
    <xf numFmtId="0" fontId="0" fillId="0" borderId="21" xfId="0" applyBorder="1" applyAlignment="1">
      <alignment wrapText="1"/>
    </xf>
    <xf numFmtId="0" fontId="0" fillId="0" borderId="0" xfId="0" applyAlignment="1">
      <alignment wrapText="1"/>
    </xf>
    <xf numFmtId="0" fontId="0" fillId="0" borderId="8" xfId="0" applyBorder="1" applyAlignment="1">
      <alignment wrapText="1"/>
    </xf>
    <xf numFmtId="0" fontId="0" fillId="0" borderId="13" xfId="0" applyBorder="1" applyAlignment="1">
      <alignment wrapText="1"/>
    </xf>
    <xf numFmtId="0" fontId="0" fillId="4" borderId="21" xfId="0" applyFill="1" applyBorder="1" applyAlignment="1">
      <alignment horizontal="center"/>
    </xf>
    <xf numFmtId="0" fontId="1" fillId="0" borderId="18" xfId="0" applyFont="1" applyBorder="1" applyAlignment="1">
      <alignment horizontal="left" vertical="center" wrapText="1"/>
    </xf>
    <xf numFmtId="0" fontId="1" fillId="0" borderId="20" xfId="0" applyFont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1" fillId="0" borderId="23" xfId="0" applyFont="1" applyBorder="1" applyAlignment="1">
      <alignment horizontal="center" vertical="center"/>
    </xf>
    <xf numFmtId="0" fontId="1" fillId="0" borderId="23" xfId="0" applyFont="1" applyBorder="1" applyAlignment="1">
      <alignment horizontal="left" vertical="center" wrapText="1"/>
    </xf>
    <xf numFmtId="0" fontId="1" fillId="0" borderId="23" xfId="0" applyFont="1" applyBorder="1" applyAlignment="1">
      <alignment horizontal="center" vertical="center" wrapText="1"/>
    </xf>
    <xf numFmtId="0" fontId="0" fillId="0" borderId="23" xfId="0" applyBorder="1" applyAlignment="1">
      <alignment horizontal="center" vertical="center"/>
    </xf>
    <xf numFmtId="0" fontId="0" fillId="0" borderId="23" xfId="0" applyBorder="1"/>
    <xf numFmtId="0" fontId="0" fillId="0" borderId="23" xfId="0" applyBorder="1" applyAlignment="1">
      <alignment horizontal="center"/>
    </xf>
    <xf numFmtId="0" fontId="1" fillId="0" borderId="0" xfId="0" applyFont="1"/>
    <xf numFmtId="0" fontId="1" fillId="2" borderId="8" xfId="0" applyFont="1" applyFill="1" applyBorder="1"/>
    <xf numFmtId="0" fontId="0" fillId="0" borderId="8" xfId="0" applyBorder="1" applyAlignment="1">
      <alignment vertical="center"/>
    </xf>
    <xf numFmtId="0" fontId="1" fillId="0" borderId="11" xfId="0" applyFont="1" applyBorder="1" applyAlignment="1">
      <alignment horizontal="left" vertical="center" wrapText="1"/>
    </xf>
    <xf numFmtId="0" fontId="0" fillId="0" borderId="8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2" borderId="8" xfId="0" applyFill="1" applyBorder="1" applyAlignment="1">
      <alignment vertical="center"/>
    </xf>
    <xf numFmtId="0" fontId="0" fillId="2" borderId="8" xfId="0" applyFill="1" applyBorder="1" applyAlignment="1">
      <alignment horizontal="center" vertical="center" wrapText="1"/>
    </xf>
    <xf numFmtId="0" fontId="0" fillId="2" borderId="8" xfId="0" applyFill="1" applyBorder="1" applyAlignment="1">
      <alignment horizontal="center" vertical="center"/>
    </xf>
    <xf numFmtId="0" fontId="0" fillId="2" borderId="8" xfId="0" applyFill="1" applyBorder="1"/>
    <xf numFmtId="0" fontId="0" fillId="2" borderId="0" xfId="0" applyFill="1"/>
    <xf numFmtId="0" fontId="0" fillId="2" borderId="8" xfId="0" applyFill="1" applyBorder="1" applyAlignment="1">
      <alignment horizontal="center"/>
    </xf>
    <xf numFmtId="0" fontId="0" fillId="0" borderId="12" xfId="0" applyBorder="1"/>
    <xf numFmtId="0" fontId="0" fillId="0" borderId="23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9" xfId="0" applyBorder="1"/>
    <xf numFmtId="0" fontId="0" fillId="0" borderId="34" xfId="0" applyBorder="1"/>
    <xf numFmtId="0" fontId="0" fillId="0" borderId="38" xfId="0" applyBorder="1" applyAlignment="1">
      <alignment horizontal="center"/>
    </xf>
    <xf numFmtId="0" fontId="0" fillId="0" borderId="5" xfId="0" applyBorder="1"/>
    <xf numFmtId="0" fontId="0" fillId="0" borderId="6" xfId="0" applyBorder="1"/>
    <xf numFmtId="0" fontId="0" fillId="0" borderId="6" xfId="0" applyBorder="1" applyAlignment="1">
      <alignment horizontal="center" vertical="center"/>
    </xf>
    <xf numFmtId="0" fontId="0" fillId="0" borderId="7" xfId="0" applyBorder="1"/>
    <xf numFmtId="0" fontId="0" fillId="13" borderId="0" xfId="0" applyFill="1" applyAlignment="1">
      <alignment vertical="center"/>
    </xf>
    <xf numFmtId="0" fontId="0" fillId="13" borderId="0" xfId="0" applyFill="1" applyAlignment="1">
      <alignment horizontal="center" vertical="center"/>
    </xf>
    <xf numFmtId="0" fontId="0" fillId="16" borderId="0" xfId="0" applyFill="1" applyAlignment="1">
      <alignment vertical="center"/>
    </xf>
    <xf numFmtId="0" fontId="0" fillId="16" borderId="0" xfId="0" applyFill="1" applyAlignment="1">
      <alignment horizontal="center" vertical="center"/>
    </xf>
    <xf numFmtId="0" fontId="0" fillId="16" borderId="11" xfId="0" applyFill="1" applyBorder="1" applyAlignment="1">
      <alignment vertical="center"/>
    </xf>
    <xf numFmtId="0" fontId="0" fillId="13" borderId="11" xfId="0" applyFill="1" applyBorder="1" applyAlignment="1">
      <alignment vertical="center"/>
    </xf>
    <xf numFmtId="0" fontId="0" fillId="16" borderId="3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/>
    </xf>
    <xf numFmtId="0" fontId="0" fillId="2" borderId="28" xfId="0" applyFill="1" applyBorder="1" applyAlignment="1">
      <alignment horizontal="center"/>
    </xf>
    <xf numFmtId="0" fontId="0" fillId="2" borderId="28" xfId="0" applyFill="1" applyBorder="1"/>
    <xf numFmtId="0" fontId="0" fillId="2" borderId="7" xfId="0" applyFill="1" applyBorder="1" applyAlignment="1">
      <alignment horizontal="center"/>
    </xf>
    <xf numFmtId="0" fontId="0" fillId="0" borderId="0" xfId="0" applyAlignment="1">
      <alignment vertical="center" wrapText="1"/>
    </xf>
    <xf numFmtId="0" fontId="0" fillId="9" borderId="36" xfId="0" applyFill="1" applyBorder="1" applyAlignment="1">
      <alignment horizontal="center" vertical="center"/>
    </xf>
    <xf numFmtId="0" fontId="0" fillId="6" borderId="36" xfId="0" applyFill="1" applyBorder="1" applyAlignment="1">
      <alignment horizontal="center"/>
    </xf>
    <xf numFmtId="0" fontId="0" fillId="8" borderId="36" xfId="0" applyFill="1" applyBorder="1" applyAlignment="1">
      <alignment horizontal="center" vertical="center"/>
    </xf>
    <xf numFmtId="0" fontId="0" fillId="11" borderId="36" xfId="0" applyFill="1" applyBorder="1" applyAlignment="1">
      <alignment horizontal="center" vertical="center"/>
    </xf>
    <xf numFmtId="0" fontId="0" fillId="5" borderId="36" xfId="0" applyFill="1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15" borderId="3" xfId="0" applyFill="1" applyBorder="1" applyAlignment="1">
      <alignment horizontal="center" vertical="center"/>
    </xf>
    <xf numFmtId="0" fontId="0" fillId="6" borderId="36" xfId="0" applyFill="1" applyBorder="1" applyAlignment="1">
      <alignment horizontal="center" vertical="center"/>
    </xf>
    <xf numFmtId="0" fontId="0" fillId="10" borderId="36" xfId="0" applyFill="1" applyBorder="1" applyAlignment="1">
      <alignment horizontal="center" vertical="center"/>
    </xf>
    <xf numFmtId="0" fontId="0" fillId="14" borderId="3" xfId="0" applyFill="1" applyBorder="1" applyAlignment="1">
      <alignment horizontal="center" vertical="center"/>
    </xf>
    <xf numFmtId="0" fontId="0" fillId="0" borderId="38" xfId="0" applyBorder="1"/>
    <xf numFmtId="0" fontId="0" fillId="7" borderId="3" xfId="0" applyFill="1" applyBorder="1" applyAlignment="1">
      <alignment horizontal="center" vertical="center"/>
    </xf>
    <xf numFmtId="0" fontId="0" fillId="7" borderId="3" xfId="0" applyFill="1" applyBorder="1" applyAlignment="1">
      <alignment horizontal="center"/>
    </xf>
    <xf numFmtId="0" fontId="1" fillId="2" borderId="2" xfId="0" applyFont="1" applyFill="1" applyBorder="1"/>
    <xf numFmtId="0" fontId="1" fillId="9" borderId="3" xfId="0" applyFont="1" applyFill="1" applyBorder="1"/>
    <xf numFmtId="0" fontId="1" fillId="10" borderId="3" xfId="0" applyFont="1" applyFill="1" applyBorder="1"/>
    <xf numFmtId="0" fontId="1" fillId="11" borderId="3" xfId="0" applyFont="1" applyFill="1" applyBorder="1"/>
    <xf numFmtId="0" fontId="1" fillId="7" borderId="3" xfId="0" applyFont="1" applyFill="1" applyBorder="1" applyAlignment="1">
      <alignment vertical="center"/>
    </xf>
    <xf numFmtId="0" fontId="1" fillId="14" borderId="3" xfId="0" applyFont="1" applyFill="1" applyBorder="1"/>
    <xf numFmtId="0" fontId="0" fillId="0" borderId="15" xfId="0" applyBorder="1" applyAlignment="1">
      <alignment horizontal="center" vertical="center"/>
    </xf>
    <xf numFmtId="0" fontId="0" fillId="2" borderId="2" xfId="0" applyFill="1" applyBorder="1"/>
    <xf numFmtId="0" fontId="0" fillId="0" borderId="15" xfId="0" applyBorder="1"/>
    <xf numFmtId="0" fontId="0" fillId="2" borderId="2" xfId="0" applyFill="1" applyBorder="1" applyAlignment="1">
      <alignment horizontal="center"/>
    </xf>
    <xf numFmtId="0" fontId="0" fillId="10" borderId="3" xfId="0" applyFill="1" applyBorder="1" applyAlignment="1">
      <alignment horizontal="center" vertical="center"/>
    </xf>
    <xf numFmtId="0" fontId="0" fillId="11" borderId="3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14" borderId="4" xfId="0" applyFill="1" applyBorder="1" applyAlignment="1">
      <alignment horizontal="center" vertical="center"/>
    </xf>
    <xf numFmtId="0" fontId="1" fillId="8" borderId="3" xfId="0" applyFont="1" applyFill="1" applyBorder="1" applyAlignment="1">
      <alignment vertical="center"/>
    </xf>
    <xf numFmtId="0" fontId="1" fillId="11" borderId="3" xfId="0" applyFont="1" applyFill="1" applyBorder="1" applyAlignment="1">
      <alignment vertical="center"/>
    </xf>
    <xf numFmtId="0" fontId="0" fillId="8" borderId="3" xfId="0" applyFill="1" applyBorder="1" applyAlignment="1">
      <alignment horizontal="center"/>
    </xf>
    <xf numFmtId="0" fontId="1" fillId="2" borderId="2" xfId="0" applyFont="1" applyFill="1" applyBorder="1" applyAlignment="1">
      <alignment vertical="center"/>
    </xf>
    <xf numFmtId="0" fontId="1" fillId="9" borderId="3" xfId="0" applyFont="1" applyFill="1" applyBorder="1" applyAlignment="1">
      <alignment vertical="center"/>
    </xf>
    <xf numFmtId="0" fontId="1" fillId="6" borderId="3" xfId="0" applyFont="1" applyFill="1" applyBorder="1"/>
    <xf numFmtId="0" fontId="1" fillId="8" borderId="3" xfId="0" applyFont="1" applyFill="1" applyBorder="1"/>
    <xf numFmtId="0" fontId="1" fillId="5" borderId="3" xfId="0" applyFont="1" applyFill="1" applyBorder="1"/>
    <xf numFmtId="0" fontId="0" fillId="9" borderId="3" xfId="0" applyFill="1" applyBorder="1" applyAlignment="1">
      <alignment horizontal="center"/>
    </xf>
    <xf numFmtId="0" fontId="0" fillId="11" borderId="3" xfId="0" applyFill="1" applyBorder="1" applyAlignment="1">
      <alignment horizontal="center" vertical="center"/>
    </xf>
    <xf numFmtId="0" fontId="0" fillId="0" borderId="15" xfId="0" applyBorder="1" applyAlignment="1">
      <alignment horizontal="center"/>
    </xf>
    <xf numFmtId="0" fontId="0" fillId="9" borderId="4" xfId="0" applyFill="1" applyBorder="1" applyAlignment="1">
      <alignment horizontal="center"/>
    </xf>
    <xf numFmtId="0" fontId="0" fillId="15" borderId="3" xfId="0" applyFill="1" applyBorder="1" applyAlignment="1">
      <alignment horizontal="center"/>
    </xf>
    <xf numFmtId="0" fontId="1" fillId="0" borderId="15" xfId="0" applyFont="1" applyBorder="1"/>
    <xf numFmtId="0" fontId="1" fillId="15" borderId="3" xfId="0" applyFont="1" applyFill="1" applyBorder="1"/>
    <xf numFmtId="0" fontId="1" fillId="0" borderId="3" xfId="0" applyFont="1" applyBorder="1"/>
    <xf numFmtId="0" fontId="6" fillId="0" borderId="23" xfId="0" applyFont="1" applyBorder="1" applyAlignment="1">
      <alignment horizontal="center" vertical="center"/>
    </xf>
    <xf numFmtId="11" fontId="0" fillId="10" borderId="3" xfId="0" applyNumberFormat="1" applyFill="1" applyBorder="1" applyAlignment="1">
      <alignment horizontal="center" vertical="center"/>
    </xf>
    <xf numFmtId="0" fontId="0" fillId="0" borderId="13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11" fontId="0" fillId="11" borderId="3" xfId="0" applyNumberFormat="1" applyFill="1" applyBorder="1" applyAlignment="1">
      <alignment horizontal="center"/>
    </xf>
    <xf numFmtId="0" fontId="0" fillId="9" borderId="36" xfId="0" applyFill="1" applyBorder="1" applyAlignment="1">
      <alignment horizontal="center"/>
    </xf>
    <xf numFmtId="0" fontId="0" fillId="11" borderId="37" xfId="0" applyFill="1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18" borderId="3" xfId="0" applyFill="1" applyBorder="1" applyAlignment="1">
      <alignment horizontal="center" vertical="center"/>
    </xf>
    <xf numFmtId="0" fontId="0" fillId="2" borderId="35" xfId="0" applyFill="1" applyBorder="1" applyAlignment="1">
      <alignment horizontal="center" vertical="center"/>
    </xf>
    <xf numFmtId="0" fontId="1" fillId="6" borderId="3" xfId="0" applyFont="1" applyFill="1" applyBorder="1" applyAlignment="1">
      <alignment vertical="center"/>
    </xf>
    <xf numFmtId="11" fontId="0" fillId="6" borderId="3" xfId="0" applyNumberFormat="1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7" fillId="0" borderId="0" xfId="0" applyFont="1" applyAlignment="1">
      <alignment vertical="center"/>
    </xf>
    <xf numFmtId="0" fontId="0" fillId="0" borderId="4" xfId="0" applyBorder="1" applyAlignment="1">
      <alignment vertical="center" wrapText="1"/>
    </xf>
    <xf numFmtId="0" fontId="0" fillId="0" borderId="10" xfId="0" applyBorder="1" applyAlignment="1">
      <alignment horizontal="center" vertical="center" wrapText="1"/>
    </xf>
    <xf numFmtId="0" fontId="0" fillId="2" borderId="10" xfId="0" applyFill="1" applyBorder="1"/>
    <xf numFmtId="0" fontId="0" fillId="6" borderId="41" xfId="0" applyFill="1" applyBorder="1" applyAlignment="1">
      <alignment horizontal="center" vertical="center"/>
    </xf>
    <xf numFmtId="0" fontId="0" fillId="8" borderId="41" xfId="0" applyFill="1" applyBorder="1" applyAlignment="1">
      <alignment horizontal="center" vertical="center"/>
    </xf>
    <xf numFmtId="0" fontId="0" fillId="10" borderId="41" xfId="0" applyFill="1" applyBorder="1" applyAlignment="1">
      <alignment horizontal="center" vertical="center"/>
    </xf>
    <xf numFmtId="0" fontId="0" fillId="11" borderId="41" xfId="0" applyFill="1" applyBorder="1" applyAlignment="1">
      <alignment horizontal="center" vertical="center"/>
    </xf>
    <xf numFmtId="0" fontId="0" fillId="0" borderId="43" xfId="0" applyBorder="1"/>
    <xf numFmtId="0" fontId="1" fillId="18" borderId="3" xfId="0" applyFont="1" applyFill="1" applyBorder="1" applyAlignment="1">
      <alignment vertical="center"/>
    </xf>
    <xf numFmtId="0" fontId="0" fillId="18" borderId="3" xfId="0" applyFill="1" applyBorder="1" applyAlignment="1">
      <alignment horizontal="center"/>
    </xf>
    <xf numFmtId="0" fontId="0" fillId="18" borderId="37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1" fillId="4" borderId="23" xfId="0" applyFont="1" applyFill="1" applyBorder="1" applyAlignment="1">
      <alignment horizontal="center" vertical="center"/>
    </xf>
    <xf numFmtId="0" fontId="1" fillId="0" borderId="29" xfId="0" applyFont="1" applyBorder="1" applyAlignment="1">
      <alignment horizontal="center" vertical="center"/>
    </xf>
    <xf numFmtId="0" fontId="1" fillId="0" borderId="54" xfId="0" applyFont="1" applyBorder="1" applyAlignment="1">
      <alignment horizontal="left" vertical="center" wrapText="1"/>
    </xf>
    <xf numFmtId="0" fontId="1" fillId="0" borderId="30" xfId="0" applyFont="1" applyBorder="1" applyAlignment="1">
      <alignment horizontal="center" vertical="center"/>
    </xf>
    <xf numFmtId="0" fontId="1" fillId="19" borderId="21" xfId="0" applyFont="1" applyFill="1" applyBorder="1" applyAlignment="1">
      <alignment horizontal="center" vertical="center"/>
    </xf>
    <xf numFmtId="0" fontId="8" fillId="0" borderId="0" xfId="0" applyFont="1" applyAlignment="1">
      <alignment vertical="center" wrapText="1"/>
    </xf>
    <xf numFmtId="0" fontId="8" fillId="0" borderId="50" xfId="0" applyFont="1" applyBorder="1" applyAlignment="1">
      <alignment vertical="center" wrapText="1"/>
    </xf>
    <xf numFmtId="0" fontId="0" fillId="0" borderId="51" xfId="0" applyBorder="1" applyAlignment="1">
      <alignment vertical="center"/>
    </xf>
    <xf numFmtId="0" fontId="0" fillId="0" borderId="53" xfId="0" applyBorder="1" applyAlignment="1">
      <alignment vertical="center"/>
    </xf>
    <xf numFmtId="0" fontId="0" fillId="0" borderId="0" xfId="0" applyAlignment="1">
      <alignment horizontal="center" wrapText="1"/>
    </xf>
    <xf numFmtId="0" fontId="0" fillId="20" borderId="0" xfId="0" applyFill="1"/>
    <xf numFmtId="0" fontId="0" fillId="20" borderId="0" xfId="0" applyFill="1" applyAlignment="1">
      <alignment horizontal="center" vertical="center"/>
    </xf>
    <xf numFmtId="0" fontId="0" fillId="22" borderId="0" xfId="0" applyFill="1"/>
    <xf numFmtId="0" fontId="0" fillId="22" borderId="0" xfId="0" applyFill="1" applyAlignment="1">
      <alignment horizontal="center" vertical="center"/>
    </xf>
    <xf numFmtId="0" fontId="0" fillId="22" borderId="4" xfId="0" applyFill="1" applyBorder="1"/>
    <xf numFmtId="0" fontId="0" fillId="8" borderId="3" xfId="0" applyFill="1" applyBorder="1" applyAlignment="1">
      <alignment horizontal="center" vertical="center"/>
    </xf>
    <xf numFmtId="0" fontId="0" fillId="9" borderId="4" xfId="0" applyFill="1" applyBorder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0" fillId="6" borderId="3" xfId="0" applyFill="1" applyBorder="1" applyAlignment="1">
      <alignment horizontal="center" vertical="center"/>
    </xf>
    <xf numFmtId="0" fontId="0" fillId="0" borderId="13" xfId="0" applyBorder="1" applyAlignment="1">
      <alignment vertical="center"/>
    </xf>
    <xf numFmtId="0" fontId="1" fillId="13" borderId="3" xfId="0" applyFont="1" applyFill="1" applyBorder="1"/>
    <xf numFmtId="0" fontId="0" fillId="6" borderId="4" xfId="0" applyFill="1" applyBorder="1" applyAlignment="1">
      <alignment horizontal="center" vertical="center"/>
    </xf>
    <xf numFmtId="0" fontId="0" fillId="6" borderId="3" xfId="0" applyFill="1" applyBorder="1" applyAlignment="1">
      <alignment horizontal="center"/>
    </xf>
    <xf numFmtId="0" fontId="0" fillId="30" borderId="3" xfId="0" applyFill="1" applyBorder="1" applyAlignment="1">
      <alignment horizontal="center" vertical="center"/>
    </xf>
    <xf numFmtId="0" fontId="0" fillId="22" borderId="36" xfId="0" applyFill="1" applyBorder="1" applyAlignment="1">
      <alignment horizontal="center" vertical="center"/>
    </xf>
    <xf numFmtId="0" fontId="0" fillId="22" borderId="3" xfId="0" applyFill="1" applyBorder="1" applyAlignment="1">
      <alignment horizontal="center" vertical="center"/>
    </xf>
    <xf numFmtId="0" fontId="0" fillId="22" borderId="3" xfId="0" applyFill="1" applyBorder="1" applyAlignment="1">
      <alignment horizontal="center"/>
    </xf>
    <xf numFmtId="0" fontId="1" fillId="22" borderId="3" xfId="0" applyFont="1" applyFill="1" applyBorder="1" applyAlignment="1">
      <alignment vertical="center"/>
    </xf>
    <xf numFmtId="0" fontId="0" fillId="31" borderId="36" xfId="0" applyFill="1" applyBorder="1" applyAlignment="1">
      <alignment horizontal="center" vertical="center"/>
    </xf>
    <xf numFmtId="0" fontId="0" fillId="31" borderId="3" xfId="0" applyFill="1" applyBorder="1" applyAlignment="1">
      <alignment horizontal="center" vertical="center"/>
    </xf>
    <xf numFmtId="0" fontId="0" fillId="31" borderId="3" xfId="0" applyFill="1" applyBorder="1" applyAlignment="1">
      <alignment horizontal="center"/>
    </xf>
    <xf numFmtId="0" fontId="1" fillId="31" borderId="3" xfId="0" applyFont="1" applyFill="1" applyBorder="1" applyAlignment="1">
      <alignment vertical="center"/>
    </xf>
    <xf numFmtId="0" fontId="0" fillId="13" borderId="3" xfId="0" applyFill="1" applyBorder="1" applyAlignment="1">
      <alignment horizontal="center"/>
    </xf>
    <xf numFmtId="0" fontId="0" fillId="32" borderId="3" xfId="0" applyFill="1" applyBorder="1" applyAlignment="1">
      <alignment horizontal="center"/>
    </xf>
    <xf numFmtId="0" fontId="0" fillId="33" borderId="41" xfId="0" applyFill="1" applyBorder="1" applyAlignment="1">
      <alignment horizontal="center" vertical="center"/>
    </xf>
    <xf numFmtId="0" fontId="0" fillId="33" borderId="36" xfId="0" applyFill="1" applyBorder="1" applyAlignment="1">
      <alignment horizontal="center" vertical="center"/>
    </xf>
    <xf numFmtId="0" fontId="0" fillId="33" borderId="3" xfId="0" applyFill="1" applyBorder="1" applyAlignment="1">
      <alignment horizontal="center" vertical="center"/>
    </xf>
    <xf numFmtId="0" fontId="0" fillId="33" borderId="3" xfId="0" applyFill="1" applyBorder="1" applyAlignment="1">
      <alignment horizontal="center"/>
    </xf>
    <xf numFmtId="0" fontId="1" fillId="33" borderId="3" xfId="0" applyFont="1" applyFill="1" applyBorder="1" applyAlignment="1">
      <alignment vertical="center"/>
    </xf>
    <xf numFmtId="0" fontId="1" fillId="34" borderId="3" xfId="0" applyFont="1" applyFill="1" applyBorder="1"/>
    <xf numFmtId="0" fontId="1" fillId="33" borderId="3" xfId="0" applyFont="1" applyFill="1" applyBorder="1"/>
    <xf numFmtId="11" fontId="0" fillId="33" borderId="3" xfId="0" applyNumberFormat="1" applyFill="1" applyBorder="1" applyAlignment="1">
      <alignment horizontal="center" vertical="center"/>
    </xf>
    <xf numFmtId="0" fontId="0" fillId="33" borderId="37" xfId="0" applyFill="1" applyBorder="1" applyAlignment="1">
      <alignment horizontal="center" vertical="center"/>
    </xf>
    <xf numFmtId="11" fontId="0" fillId="33" borderId="37" xfId="0" applyNumberFormat="1" applyFill="1" applyBorder="1" applyAlignment="1">
      <alignment horizontal="center" vertical="center"/>
    </xf>
    <xf numFmtId="0" fontId="0" fillId="30" borderId="36" xfId="0" applyFill="1" applyBorder="1" applyAlignment="1">
      <alignment horizontal="center"/>
    </xf>
    <xf numFmtId="0" fontId="1" fillId="30" borderId="3" xfId="0" applyFont="1" applyFill="1" applyBorder="1" applyAlignment="1">
      <alignment vertical="center"/>
    </xf>
    <xf numFmtId="11" fontId="0" fillId="8" borderId="3" xfId="0" applyNumberFormat="1" applyFill="1" applyBorder="1" applyAlignment="1">
      <alignment horizontal="center"/>
    </xf>
    <xf numFmtId="0" fontId="1" fillId="26" borderId="3" xfId="0" applyFont="1" applyFill="1" applyBorder="1" applyAlignment="1">
      <alignment vertical="center"/>
    </xf>
    <xf numFmtId="0" fontId="1" fillId="22" borderId="3" xfId="0" applyFont="1" applyFill="1" applyBorder="1"/>
    <xf numFmtId="0" fontId="1" fillId="31" borderId="3" xfId="0" applyFont="1" applyFill="1" applyBorder="1"/>
    <xf numFmtId="0" fontId="0" fillId="32" borderId="37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15" borderId="0" xfId="0" applyFill="1" applyAlignment="1">
      <alignment horizontal="center" vertical="center"/>
    </xf>
    <xf numFmtId="0" fontId="0" fillId="9" borderId="54" xfId="0" applyFill="1" applyBorder="1" applyAlignment="1">
      <alignment horizontal="center" vertical="center"/>
    </xf>
    <xf numFmtId="0" fontId="0" fillId="8" borderId="54" xfId="0" applyFill="1" applyBorder="1" applyAlignment="1">
      <alignment horizontal="center" vertical="center"/>
    </xf>
    <xf numFmtId="0" fontId="0" fillId="33" borderId="54" xfId="0" applyFill="1" applyBorder="1" applyAlignment="1">
      <alignment horizontal="center" vertical="center"/>
    </xf>
    <xf numFmtId="0" fontId="0" fillId="33" borderId="30" xfId="0" applyFill="1" applyBorder="1" applyAlignment="1">
      <alignment horizontal="center" vertical="center"/>
    </xf>
    <xf numFmtId="0" fontId="0" fillId="14" borderId="54" xfId="0" applyFill="1" applyBorder="1" applyAlignment="1">
      <alignment horizontal="center" vertical="center"/>
    </xf>
    <xf numFmtId="0" fontId="0" fillId="14" borderId="30" xfId="0" applyFill="1" applyBorder="1" applyAlignment="1">
      <alignment horizontal="center" vertical="center"/>
    </xf>
    <xf numFmtId="0" fontId="0" fillId="31" borderId="54" xfId="0" applyFill="1" applyBorder="1" applyAlignment="1">
      <alignment horizontal="center" vertical="center"/>
    </xf>
    <xf numFmtId="0" fontId="0" fillId="13" borderId="54" xfId="0" applyFill="1" applyBorder="1" applyAlignment="1">
      <alignment horizontal="center" vertical="center"/>
    </xf>
    <xf numFmtId="0" fontId="0" fillId="35" borderId="54" xfId="0" applyFill="1" applyBorder="1" applyAlignment="1">
      <alignment horizontal="center" vertical="center"/>
    </xf>
    <xf numFmtId="0" fontId="0" fillId="35" borderId="30" xfId="0" applyFill="1" applyBorder="1" applyAlignment="1">
      <alignment horizontal="center" vertical="center"/>
    </xf>
    <xf numFmtId="0" fontId="0" fillId="27" borderId="54" xfId="0" applyFill="1" applyBorder="1" applyAlignment="1">
      <alignment horizontal="center" vertical="center"/>
    </xf>
    <xf numFmtId="0" fontId="0" fillId="27" borderId="30" xfId="0" applyFill="1" applyBorder="1" applyAlignment="1">
      <alignment horizontal="center" vertical="center"/>
    </xf>
    <xf numFmtId="0" fontId="0" fillId="39" borderId="54" xfId="0" applyFill="1" applyBorder="1" applyAlignment="1">
      <alignment horizontal="center" vertical="center"/>
    </xf>
    <xf numFmtId="0" fontId="0" fillId="39" borderId="30" xfId="0" applyFill="1" applyBorder="1" applyAlignment="1">
      <alignment horizontal="center" vertical="center"/>
    </xf>
    <xf numFmtId="0" fontId="0" fillId="32" borderId="20" xfId="0" applyFill="1" applyBorder="1" applyAlignment="1">
      <alignment horizontal="center" vertical="center"/>
    </xf>
    <xf numFmtId="0" fontId="0" fillId="32" borderId="22" xfId="0" applyFill="1" applyBorder="1" applyAlignment="1">
      <alignment horizontal="center" vertical="center"/>
    </xf>
    <xf numFmtId="0" fontId="0" fillId="24" borderId="17" xfId="0" applyFill="1" applyBorder="1" applyAlignment="1">
      <alignment horizontal="center" vertical="center"/>
    </xf>
    <xf numFmtId="0" fontId="0" fillId="36" borderId="54" xfId="0" applyFill="1" applyBorder="1" applyAlignment="1">
      <alignment horizontal="center" vertical="center"/>
    </xf>
    <xf numFmtId="0" fontId="0" fillId="25" borderId="54" xfId="0" applyFill="1" applyBorder="1" applyAlignment="1">
      <alignment horizontal="center" vertical="center"/>
    </xf>
    <xf numFmtId="0" fontId="0" fillId="30" borderId="17" xfId="0" applyFill="1" applyBorder="1" applyAlignment="1">
      <alignment horizontal="center" vertical="center"/>
    </xf>
    <xf numFmtId="0" fontId="0" fillId="30" borderId="61" xfId="0" applyFill="1" applyBorder="1" applyAlignment="1">
      <alignment horizontal="center" vertical="center"/>
    </xf>
    <xf numFmtId="0" fontId="0" fillId="13" borderId="30" xfId="0" applyFill="1" applyBorder="1" applyAlignment="1">
      <alignment horizontal="center" vertical="center"/>
    </xf>
    <xf numFmtId="0" fontId="0" fillId="36" borderId="30" xfId="0" applyFill="1" applyBorder="1" applyAlignment="1">
      <alignment horizontal="center" vertical="center"/>
    </xf>
    <xf numFmtId="0" fontId="0" fillId="25" borderId="30" xfId="0" applyFill="1" applyBorder="1" applyAlignment="1">
      <alignment horizontal="center" vertical="center"/>
    </xf>
    <xf numFmtId="0" fontId="0" fillId="28" borderId="20" xfId="0" applyFill="1" applyBorder="1" applyAlignment="1">
      <alignment horizontal="center" vertical="center"/>
    </xf>
    <xf numFmtId="0" fontId="0" fillId="28" borderId="22" xfId="0" applyFill="1" applyBorder="1" applyAlignment="1">
      <alignment horizontal="center" vertical="center"/>
    </xf>
    <xf numFmtId="0" fontId="0" fillId="31" borderId="30" xfId="0" applyFill="1" applyBorder="1" applyAlignment="1">
      <alignment horizontal="center" vertical="center"/>
    </xf>
    <xf numFmtId="0" fontId="0" fillId="24" borderId="61" xfId="0" applyFill="1" applyBorder="1" applyAlignment="1">
      <alignment horizontal="center" vertical="center"/>
    </xf>
    <xf numFmtId="0" fontId="0" fillId="17" borderId="17" xfId="0" applyFill="1" applyBorder="1" applyAlignment="1">
      <alignment horizontal="center" vertical="center"/>
    </xf>
    <xf numFmtId="0" fontId="0" fillId="17" borderId="61" xfId="0" applyFill="1" applyBorder="1" applyAlignment="1">
      <alignment horizontal="center" vertical="center"/>
    </xf>
    <xf numFmtId="0" fontId="0" fillId="12" borderId="54" xfId="0" applyFill="1" applyBorder="1" applyAlignment="1">
      <alignment horizontal="center" vertical="center"/>
    </xf>
    <xf numFmtId="0" fontId="0" fillId="12" borderId="30" xfId="0" applyFill="1" applyBorder="1" applyAlignment="1">
      <alignment horizontal="center" vertical="center"/>
    </xf>
    <xf numFmtId="0" fontId="0" fillId="41" borderId="20" xfId="0" applyFill="1" applyBorder="1" applyAlignment="1">
      <alignment horizontal="center" vertical="center"/>
    </xf>
    <xf numFmtId="0" fontId="0" fillId="41" borderId="22" xfId="0" applyFill="1" applyBorder="1" applyAlignment="1">
      <alignment horizontal="center" vertical="center"/>
    </xf>
    <xf numFmtId="0" fontId="0" fillId="13" borderId="20" xfId="0" applyFill="1" applyBorder="1" applyAlignment="1">
      <alignment horizontal="center" vertical="center"/>
    </xf>
    <xf numFmtId="0" fontId="0" fillId="11" borderId="20" xfId="0" applyFill="1" applyBorder="1" applyAlignment="1">
      <alignment horizontal="center" vertical="center"/>
    </xf>
    <xf numFmtId="0" fontId="0" fillId="11" borderId="22" xfId="0" applyFill="1" applyBorder="1" applyAlignment="1">
      <alignment horizontal="center" vertical="center"/>
    </xf>
    <xf numFmtId="0" fontId="0" fillId="37" borderId="27" xfId="0" applyFill="1" applyBorder="1" applyAlignment="1">
      <alignment horizontal="center" vertical="center"/>
    </xf>
    <xf numFmtId="0" fontId="0" fillId="37" borderId="64" xfId="0" applyFill="1" applyBorder="1" applyAlignment="1">
      <alignment horizontal="center" vertical="center"/>
    </xf>
    <xf numFmtId="0" fontId="0" fillId="29" borderId="63" xfId="0" applyFill="1" applyBorder="1" applyAlignment="1">
      <alignment horizontal="center" vertical="center"/>
    </xf>
    <xf numFmtId="0" fontId="0" fillId="29" borderId="64" xfId="0" applyFill="1" applyBorder="1" applyAlignment="1">
      <alignment horizontal="center" vertical="center"/>
    </xf>
    <xf numFmtId="0" fontId="0" fillId="21" borderId="63" xfId="0" applyFill="1" applyBorder="1" applyAlignment="1">
      <alignment vertical="center"/>
    </xf>
    <xf numFmtId="0" fontId="0" fillId="21" borderId="65" xfId="0" applyFill="1" applyBorder="1" applyAlignment="1">
      <alignment vertical="center"/>
    </xf>
    <xf numFmtId="0" fontId="0" fillId="38" borderId="17" xfId="0" applyFill="1" applyBorder="1" applyAlignment="1">
      <alignment vertical="center"/>
    </xf>
    <xf numFmtId="0" fontId="0" fillId="40" borderId="20" xfId="0" applyFill="1" applyBorder="1" applyAlignment="1">
      <alignment horizontal="center" vertical="center"/>
    </xf>
    <xf numFmtId="0" fontId="0" fillId="42" borderId="5" xfId="0" applyFill="1" applyBorder="1" applyAlignment="1">
      <alignment horizontal="center" vertical="center"/>
    </xf>
    <xf numFmtId="0" fontId="0" fillId="42" borderId="60" xfId="0" applyFill="1" applyBorder="1" applyAlignment="1">
      <alignment horizontal="center" vertical="center"/>
    </xf>
    <xf numFmtId="0" fontId="0" fillId="42" borderId="57" xfId="0" applyFill="1" applyBorder="1" applyAlignment="1">
      <alignment horizontal="center" vertical="center"/>
    </xf>
    <xf numFmtId="0" fontId="0" fillId="42" borderId="58" xfId="0" applyFill="1" applyBorder="1" applyAlignment="1">
      <alignment horizontal="center" vertical="center"/>
    </xf>
    <xf numFmtId="0" fontId="0" fillId="42" borderId="59" xfId="0" applyFill="1" applyBorder="1" applyAlignment="1">
      <alignment horizontal="center" vertical="center"/>
    </xf>
    <xf numFmtId="0" fontId="0" fillId="22" borderId="36" xfId="0" applyFill="1" applyBorder="1" applyAlignment="1">
      <alignment horizontal="center"/>
    </xf>
    <xf numFmtId="0" fontId="0" fillId="22" borderId="4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22" borderId="4" xfId="0" applyFill="1" applyBorder="1" applyAlignment="1">
      <alignment horizontal="center"/>
    </xf>
    <xf numFmtId="0" fontId="0" fillId="33" borderId="4" xfId="0" applyFill="1" applyBorder="1" applyAlignment="1">
      <alignment horizontal="center"/>
    </xf>
    <xf numFmtId="0" fontId="0" fillId="31" borderId="4" xfId="0" applyFill="1" applyBorder="1" applyAlignment="1">
      <alignment horizontal="center"/>
    </xf>
    <xf numFmtId="0" fontId="1" fillId="31" borderId="2" xfId="0" applyFont="1" applyFill="1" applyBorder="1"/>
    <xf numFmtId="0" fontId="1" fillId="31" borderId="15" xfId="0" applyFont="1" applyFill="1" applyBorder="1"/>
    <xf numFmtId="0" fontId="0" fillId="31" borderId="2" xfId="0" applyFill="1" applyBorder="1" applyAlignment="1">
      <alignment horizontal="center" vertical="center"/>
    </xf>
    <xf numFmtId="0" fontId="0" fillId="31" borderId="15" xfId="0" applyFill="1" applyBorder="1" applyAlignment="1">
      <alignment horizontal="center" vertical="center"/>
    </xf>
    <xf numFmtId="0" fontId="0" fillId="31" borderId="2" xfId="0" applyFill="1" applyBorder="1" applyAlignment="1">
      <alignment horizontal="center"/>
    </xf>
    <xf numFmtId="0" fontId="0" fillId="31" borderId="15" xfId="0" applyFill="1" applyBorder="1" applyAlignment="1">
      <alignment horizontal="center"/>
    </xf>
    <xf numFmtId="0" fontId="0" fillId="13" borderId="28" xfId="0" applyFill="1" applyBorder="1" applyAlignment="1">
      <alignment horizontal="center" vertical="center"/>
    </xf>
    <xf numFmtId="0" fontId="0" fillId="13" borderId="28" xfId="0" applyFill="1" applyBorder="1" applyAlignment="1">
      <alignment horizontal="center"/>
    </xf>
    <xf numFmtId="0" fontId="1" fillId="13" borderId="28" xfId="0" applyFont="1" applyFill="1" applyBorder="1"/>
    <xf numFmtId="0" fontId="0" fillId="39" borderId="3" xfId="0" applyFill="1" applyBorder="1" applyAlignment="1">
      <alignment horizontal="center"/>
    </xf>
    <xf numFmtId="0" fontId="1" fillId="32" borderId="3" xfId="0" applyFont="1" applyFill="1" applyBorder="1"/>
    <xf numFmtId="0" fontId="0" fillId="33" borderId="11" xfId="0" applyFill="1" applyBorder="1" applyAlignment="1">
      <alignment horizontal="center" vertical="center"/>
    </xf>
    <xf numFmtId="0" fontId="1" fillId="30" borderId="15" xfId="0" applyFont="1" applyFill="1" applyBorder="1" applyAlignment="1">
      <alignment vertical="center"/>
    </xf>
    <xf numFmtId="0" fontId="0" fillId="30" borderId="63" xfId="0" applyFill="1" applyBorder="1" applyAlignment="1">
      <alignment horizontal="center" vertical="center"/>
    </xf>
    <xf numFmtId="0" fontId="0" fillId="30" borderId="14" xfId="0" applyFill="1" applyBorder="1" applyAlignment="1">
      <alignment horizontal="center" vertical="center"/>
    </xf>
    <xf numFmtId="0" fontId="1" fillId="5" borderId="15" xfId="0" applyFont="1" applyFill="1" applyBorder="1"/>
    <xf numFmtId="0" fontId="0" fillId="30" borderId="12" xfId="0" applyFill="1" applyBorder="1" applyAlignment="1">
      <alignment horizontal="center" vertical="center"/>
    </xf>
    <xf numFmtId="0" fontId="0" fillId="30" borderId="15" xfId="0" applyFill="1" applyBorder="1" applyAlignment="1">
      <alignment horizontal="center"/>
    </xf>
    <xf numFmtId="0" fontId="1" fillId="0" borderId="0" xfId="0" applyFont="1" applyAlignment="1">
      <alignment horizontal="left" vertical="center" wrapText="1"/>
    </xf>
    <xf numFmtId="0" fontId="0" fillId="13" borderId="38" xfId="0" applyFill="1" applyBorder="1" applyAlignment="1">
      <alignment horizontal="center" vertical="center"/>
    </xf>
    <xf numFmtId="0" fontId="1" fillId="13" borderId="15" xfId="0" applyFont="1" applyFill="1" applyBorder="1"/>
    <xf numFmtId="0" fontId="1" fillId="33" borderId="15" xfId="0" applyFont="1" applyFill="1" applyBorder="1"/>
    <xf numFmtId="0" fontId="0" fillId="33" borderId="15" xfId="0" applyFill="1" applyBorder="1" applyAlignment="1">
      <alignment horizontal="center" vertical="center"/>
    </xf>
    <xf numFmtId="0" fontId="0" fillId="33" borderId="15" xfId="0" applyFill="1" applyBorder="1" applyAlignment="1">
      <alignment horizontal="center"/>
    </xf>
    <xf numFmtId="0" fontId="0" fillId="8" borderId="36" xfId="0" applyFill="1" applyBorder="1" applyAlignment="1">
      <alignment horizontal="center"/>
    </xf>
    <xf numFmtId="11" fontId="0" fillId="8" borderId="36" xfId="0" applyNumberFormat="1" applyFill="1" applyBorder="1" applyAlignment="1">
      <alignment horizontal="center" vertical="center"/>
    </xf>
    <xf numFmtId="0" fontId="0" fillId="6" borderId="4" xfId="0" applyFill="1" applyBorder="1" applyAlignment="1">
      <alignment horizontal="center"/>
    </xf>
    <xf numFmtId="0" fontId="0" fillId="6" borderId="0" xfId="0" applyFill="1" applyAlignment="1">
      <alignment horizontal="center"/>
    </xf>
    <xf numFmtId="0" fontId="0" fillId="6" borderId="33" xfId="0" applyFill="1" applyBorder="1" applyAlignment="1">
      <alignment horizontal="center" vertical="center"/>
    </xf>
    <xf numFmtId="0" fontId="0" fillId="6" borderId="39" xfId="0" applyFill="1" applyBorder="1" applyAlignment="1">
      <alignment horizontal="center" vertical="center"/>
    </xf>
    <xf numFmtId="0" fontId="1" fillId="8" borderId="15" xfId="0" applyFont="1" applyFill="1" applyBorder="1" applyAlignment="1">
      <alignment vertical="center"/>
    </xf>
    <xf numFmtId="0" fontId="0" fillId="0" borderId="13" xfId="0" applyBorder="1" applyAlignment="1">
      <alignment vertical="center" wrapText="1"/>
    </xf>
    <xf numFmtId="0" fontId="0" fillId="8" borderId="15" xfId="0" applyFill="1" applyBorder="1" applyAlignment="1">
      <alignment horizontal="center" vertical="center"/>
    </xf>
    <xf numFmtId="0" fontId="0" fillId="8" borderId="15" xfId="0" applyFill="1" applyBorder="1" applyAlignment="1">
      <alignment horizontal="center"/>
    </xf>
    <xf numFmtId="0" fontId="1" fillId="36" borderId="15" xfId="0" applyFont="1" applyFill="1" applyBorder="1" applyAlignment="1">
      <alignment vertical="center"/>
    </xf>
    <xf numFmtId="0" fontId="1" fillId="36" borderId="3" xfId="0" applyFont="1" applyFill="1" applyBorder="1" applyAlignment="1">
      <alignment vertical="center"/>
    </xf>
    <xf numFmtId="0" fontId="0" fillId="2" borderId="32" xfId="0" applyFill="1" applyBorder="1" applyAlignment="1">
      <alignment horizontal="center" vertical="center"/>
    </xf>
    <xf numFmtId="0" fontId="0" fillId="36" borderId="33" xfId="0" applyFill="1" applyBorder="1" applyAlignment="1">
      <alignment horizontal="center" vertical="center"/>
    </xf>
    <xf numFmtId="0" fontId="0" fillId="0" borderId="66" xfId="0" applyBorder="1" applyAlignment="1">
      <alignment horizontal="center" vertical="center"/>
    </xf>
    <xf numFmtId="0" fontId="0" fillId="36" borderId="36" xfId="0" applyFill="1" applyBorder="1" applyAlignment="1">
      <alignment horizontal="center" vertical="center"/>
    </xf>
    <xf numFmtId="0" fontId="0" fillId="2" borderId="35" xfId="0" applyFill="1" applyBorder="1" applyAlignment="1">
      <alignment horizontal="center"/>
    </xf>
    <xf numFmtId="0" fontId="0" fillId="36" borderId="38" xfId="0" applyFill="1" applyBorder="1" applyAlignment="1">
      <alignment horizontal="center" vertical="center"/>
    </xf>
    <xf numFmtId="0" fontId="0" fillId="34" borderId="33" xfId="0" applyFill="1" applyBorder="1" applyAlignment="1">
      <alignment horizontal="center" vertical="center"/>
    </xf>
    <xf numFmtId="0" fontId="0" fillId="34" borderId="36" xfId="0" applyFill="1" applyBorder="1" applyAlignment="1">
      <alignment horizontal="center" vertical="center"/>
    </xf>
    <xf numFmtId="0" fontId="0" fillId="34" borderId="39" xfId="0" applyFill="1" applyBorder="1" applyAlignment="1">
      <alignment horizontal="center"/>
    </xf>
    <xf numFmtId="0" fontId="0" fillId="6" borderId="11" xfId="0" applyFill="1" applyBorder="1" applyAlignment="1">
      <alignment horizontal="center" vertical="center"/>
    </xf>
    <xf numFmtId="0" fontId="0" fillId="17" borderId="0" xfId="0" applyFill="1" applyAlignment="1">
      <alignment horizontal="center" vertical="center"/>
    </xf>
    <xf numFmtId="0" fontId="0" fillId="22" borderId="11" xfId="0" applyFill="1" applyBorder="1" applyAlignment="1">
      <alignment horizontal="center" vertical="center"/>
    </xf>
    <xf numFmtId="0" fontId="0" fillId="31" borderId="11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39" borderId="37" xfId="0" applyFill="1" applyBorder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0" fillId="8" borderId="4" xfId="0" applyFill="1" applyBorder="1" applyAlignment="1">
      <alignment horizontal="center" vertical="center"/>
    </xf>
    <xf numFmtId="0" fontId="0" fillId="11" borderId="4" xfId="0" applyFill="1" applyBorder="1" applyAlignment="1">
      <alignment horizontal="center" vertical="center"/>
    </xf>
    <xf numFmtId="0" fontId="0" fillId="26" borderId="3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34" borderId="3" xfId="0" applyFill="1" applyBorder="1" applyAlignment="1">
      <alignment horizontal="center" vertical="center"/>
    </xf>
    <xf numFmtId="11" fontId="0" fillId="34" borderId="39" xfId="0" applyNumberFormat="1" applyFill="1" applyBorder="1" applyAlignment="1">
      <alignment horizontal="center"/>
    </xf>
    <xf numFmtId="0" fontId="0" fillId="22" borderId="39" xfId="0" applyFill="1" applyBorder="1" applyAlignment="1">
      <alignment horizontal="center"/>
    </xf>
    <xf numFmtId="0" fontId="0" fillId="22" borderId="37" xfId="0" applyFill="1" applyBorder="1" applyAlignment="1">
      <alignment horizontal="center" vertical="center"/>
    </xf>
    <xf numFmtId="0" fontId="0" fillId="31" borderId="39" xfId="0" applyFill="1" applyBorder="1" applyAlignment="1">
      <alignment horizontal="center"/>
    </xf>
    <xf numFmtId="11" fontId="0" fillId="31" borderId="39" xfId="0" applyNumberFormat="1" applyFill="1" applyBorder="1" applyAlignment="1">
      <alignment horizontal="center"/>
    </xf>
    <xf numFmtId="0" fontId="0" fillId="33" borderId="39" xfId="0" applyFill="1" applyBorder="1" applyAlignment="1">
      <alignment horizontal="center"/>
    </xf>
    <xf numFmtId="0" fontId="0" fillId="31" borderId="66" xfId="0" applyFill="1" applyBorder="1" applyAlignment="1">
      <alignment horizontal="center" vertical="center"/>
    </xf>
    <xf numFmtId="0" fontId="0" fillId="22" borderId="66" xfId="0" applyFill="1" applyBorder="1" applyAlignment="1">
      <alignment horizontal="center" vertical="center"/>
    </xf>
    <xf numFmtId="0" fontId="0" fillId="13" borderId="66" xfId="0" applyFill="1" applyBorder="1" applyAlignment="1">
      <alignment horizontal="center" vertical="center"/>
    </xf>
    <xf numFmtId="0" fontId="0" fillId="31" borderId="37" xfId="0" applyFill="1" applyBorder="1" applyAlignment="1">
      <alignment horizontal="center" vertical="center"/>
    </xf>
    <xf numFmtId="0" fontId="0" fillId="33" borderId="66" xfId="0" applyFill="1" applyBorder="1" applyAlignment="1">
      <alignment horizontal="center" vertical="center"/>
    </xf>
    <xf numFmtId="0" fontId="0" fillId="30" borderId="66" xfId="0" applyFill="1" applyBorder="1" applyAlignment="1">
      <alignment horizontal="center" vertical="center"/>
    </xf>
    <xf numFmtId="0" fontId="0" fillId="30" borderId="37" xfId="0" applyFill="1" applyBorder="1" applyAlignment="1">
      <alignment horizontal="center" vertical="center"/>
    </xf>
    <xf numFmtId="0" fontId="0" fillId="30" borderId="39" xfId="0" applyFill="1" applyBorder="1" applyAlignment="1">
      <alignment horizontal="center"/>
    </xf>
    <xf numFmtId="0" fontId="1" fillId="30" borderId="3" xfId="0" applyFont="1" applyFill="1" applyBorder="1"/>
    <xf numFmtId="11" fontId="0" fillId="30" borderId="39" xfId="0" applyNumberFormat="1" applyFill="1" applyBorder="1" applyAlignment="1">
      <alignment horizontal="center"/>
    </xf>
    <xf numFmtId="0" fontId="0" fillId="14" borderId="39" xfId="0" applyFill="1" applyBorder="1" applyAlignment="1">
      <alignment horizontal="center"/>
    </xf>
    <xf numFmtId="0" fontId="0" fillId="13" borderId="39" xfId="0" applyFill="1" applyBorder="1" applyAlignment="1">
      <alignment horizontal="center"/>
    </xf>
    <xf numFmtId="11" fontId="0" fillId="13" borderId="39" xfId="0" applyNumberFormat="1" applyFill="1" applyBorder="1" applyAlignment="1">
      <alignment horizontal="center"/>
    </xf>
    <xf numFmtId="0" fontId="0" fillId="13" borderId="37" xfId="0" applyFill="1" applyBorder="1" applyAlignment="1">
      <alignment horizontal="center" vertical="center"/>
    </xf>
    <xf numFmtId="11" fontId="0" fillId="13" borderId="37" xfId="0" applyNumberFormat="1" applyFill="1" applyBorder="1" applyAlignment="1">
      <alignment horizontal="center" vertical="center"/>
    </xf>
    <xf numFmtId="0" fontId="1" fillId="15" borderId="15" xfId="0" applyFont="1" applyFill="1" applyBorder="1"/>
    <xf numFmtId="0" fontId="0" fillId="15" borderId="13" xfId="0" applyFill="1" applyBorder="1" applyAlignment="1">
      <alignment horizontal="center" vertical="center"/>
    </xf>
    <xf numFmtId="0" fontId="0" fillId="15" borderId="15" xfId="0" applyFill="1" applyBorder="1" applyAlignment="1">
      <alignment horizontal="center"/>
    </xf>
    <xf numFmtId="0" fontId="0" fillId="14" borderId="66" xfId="0" applyFill="1" applyBorder="1" applyAlignment="1">
      <alignment horizontal="center" vertical="center"/>
    </xf>
    <xf numFmtId="0" fontId="0" fillId="14" borderId="37" xfId="0" applyFill="1" applyBorder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15" borderId="34" xfId="0" applyFill="1" applyBorder="1" applyAlignment="1">
      <alignment horizontal="center" vertical="center"/>
    </xf>
    <xf numFmtId="0" fontId="0" fillId="15" borderId="38" xfId="0" applyFill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21" borderId="37" xfId="0" applyFill="1" applyBorder="1" applyAlignment="1">
      <alignment horizontal="center" vertical="center"/>
    </xf>
    <xf numFmtId="0" fontId="1" fillId="21" borderId="3" xfId="0" applyFont="1" applyFill="1" applyBorder="1" applyAlignment="1">
      <alignment vertical="center"/>
    </xf>
    <xf numFmtId="0" fontId="0" fillId="21" borderId="3" xfId="0" applyFill="1" applyBorder="1" applyAlignment="1">
      <alignment horizontal="center" vertical="center"/>
    </xf>
    <xf numFmtId="0" fontId="0" fillId="21" borderId="3" xfId="0" applyFill="1" applyBorder="1" applyAlignment="1">
      <alignment horizontal="center"/>
    </xf>
    <xf numFmtId="0" fontId="0" fillId="43" borderId="0" xfId="0" applyFill="1" applyAlignment="1">
      <alignment horizontal="center" vertical="center"/>
    </xf>
    <xf numFmtId="0" fontId="0" fillId="43" borderId="37" xfId="0" applyFill="1" applyBorder="1" applyAlignment="1">
      <alignment horizontal="center" vertical="center"/>
    </xf>
    <xf numFmtId="0" fontId="0" fillId="43" borderId="3" xfId="0" applyFill="1" applyBorder="1" applyAlignment="1">
      <alignment horizontal="center" vertical="center"/>
    </xf>
    <xf numFmtId="0" fontId="1" fillId="43" borderId="3" xfId="0" applyFont="1" applyFill="1" applyBorder="1"/>
    <xf numFmtId="0" fontId="1" fillId="12" borderId="3" xfId="0" applyFont="1" applyFill="1" applyBorder="1"/>
    <xf numFmtId="0" fontId="0" fillId="12" borderId="3" xfId="0" applyFill="1" applyBorder="1" applyAlignment="1">
      <alignment horizontal="center" vertical="center"/>
    </xf>
    <xf numFmtId="0" fontId="0" fillId="12" borderId="37" xfId="0" applyFill="1" applyBorder="1" applyAlignment="1">
      <alignment horizontal="center" vertical="center"/>
    </xf>
    <xf numFmtId="0" fontId="0" fillId="36" borderId="3" xfId="0" applyFill="1" applyBorder="1" applyAlignment="1">
      <alignment horizontal="center" vertical="center"/>
    </xf>
    <xf numFmtId="0" fontId="1" fillId="36" borderId="3" xfId="0" applyFont="1" applyFill="1" applyBorder="1"/>
    <xf numFmtId="0" fontId="0" fillId="36" borderId="37" xfId="0" applyFill="1" applyBorder="1" applyAlignment="1">
      <alignment horizontal="center" vertical="center"/>
    </xf>
    <xf numFmtId="0" fontId="1" fillId="24" borderId="3" xfId="0" applyFont="1" applyFill="1" applyBorder="1"/>
    <xf numFmtId="0" fontId="0" fillId="24" borderId="3" xfId="0" applyFill="1" applyBorder="1" applyAlignment="1">
      <alignment horizontal="center" vertical="center"/>
    </xf>
    <xf numFmtId="0" fontId="1" fillId="17" borderId="3" xfId="0" applyFont="1" applyFill="1" applyBorder="1"/>
    <xf numFmtId="0" fontId="0" fillId="17" borderId="3" xfId="0" applyFill="1" applyBorder="1" applyAlignment="1">
      <alignment horizontal="center" vertical="center"/>
    </xf>
    <xf numFmtId="0" fontId="0" fillId="17" borderId="37" xfId="0" applyFill="1" applyBorder="1" applyAlignment="1">
      <alignment horizontal="center" vertical="center"/>
    </xf>
    <xf numFmtId="0" fontId="9" fillId="9" borderId="30" xfId="0" applyFont="1" applyFill="1" applyBorder="1" applyAlignment="1">
      <alignment horizontal="center" vertical="center"/>
    </xf>
    <xf numFmtId="0" fontId="9" fillId="23" borderId="30" xfId="0" applyFont="1" applyFill="1" applyBorder="1" applyAlignment="1">
      <alignment horizontal="center" vertical="center"/>
    </xf>
    <xf numFmtId="0" fontId="0" fillId="8" borderId="30" xfId="0" applyFill="1" applyBorder="1" applyAlignment="1">
      <alignment horizontal="center" vertical="center"/>
    </xf>
    <xf numFmtId="0" fontId="0" fillId="26" borderId="30" xfId="0" applyFill="1" applyBorder="1" applyAlignment="1">
      <alignment horizontal="center" vertical="center"/>
    </xf>
    <xf numFmtId="0" fontId="0" fillId="34" borderId="22" xfId="0" applyFill="1" applyBorder="1" applyAlignment="1">
      <alignment horizontal="center" vertical="center"/>
    </xf>
    <xf numFmtId="0" fontId="9" fillId="6" borderId="61" xfId="0" applyFont="1" applyFill="1" applyBorder="1" applyAlignment="1">
      <alignment horizontal="center" vertical="center"/>
    </xf>
    <xf numFmtId="0" fontId="0" fillId="31" borderId="0" xfId="0" applyFill="1" applyAlignment="1">
      <alignment horizontal="center" vertical="center"/>
    </xf>
    <xf numFmtId="0" fontId="0" fillId="35" borderId="0" xfId="0" applyFill="1" applyAlignment="1">
      <alignment horizontal="center" vertical="center"/>
    </xf>
    <xf numFmtId="0" fontId="0" fillId="27" borderId="0" xfId="0" applyFill="1" applyAlignment="1">
      <alignment horizontal="center" vertical="center"/>
    </xf>
    <xf numFmtId="0" fontId="0" fillId="33" borderId="0" xfId="0" applyFill="1" applyAlignment="1">
      <alignment horizontal="center" vertical="center"/>
    </xf>
    <xf numFmtId="0" fontId="0" fillId="39" borderId="0" xfId="0" applyFill="1" applyAlignment="1">
      <alignment horizontal="center" vertical="center"/>
    </xf>
    <xf numFmtId="0" fontId="0" fillId="32" borderId="0" xfId="0" applyFill="1" applyAlignment="1">
      <alignment horizontal="center" vertical="center"/>
    </xf>
    <xf numFmtId="0" fontId="0" fillId="22" borderId="23" xfId="0" applyFill="1" applyBorder="1" applyAlignment="1">
      <alignment horizontal="center" vertical="center"/>
    </xf>
    <xf numFmtId="0" fontId="0" fillId="31" borderId="23" xfId="0" applyFill="1" applyBorder="1" applyAlignment="1">
      <alignment horizontal="center" vertical="center"/>
    </xf>
    <xf numFmtId="0" fontId="0" fillId="35" borderId="23" xfId="0" applyFill="1" applyBorder="1" applyAlignment="1">
      <alignment horizontal="center" vertical="center"/>
    </xf>
    <xf numFmtId="0" fontId="0" fillId="27" borderId="23" xfId="0" applyFill="1" applyBorder="1" applyAlignment="1">
      <alignment horizontal="center" vertical="center"/>
    </xf>
    <xf numFmtId="0" fontId="0" fillId="33" borderId="23" xfId="0" applyFill="1" applyBorder="1" applyAlignment="1">
      <alignment horizontal="center" vertical="center"/>
    </xf>
    <xf numFmtId="0" fontId="0" fillId="39" borderId="23" xfId="0" applyFill="1" applyBorder="1" applyAlignment="1">
      <alignment horizontal="center" vertical="center"/>
    </xf>
    <xf numFmtId="0" fontId="0" fillId="22" borderId="30" xfId="0" applyFill="1" applyBorder="1" applyAlignment="1">
      <alignment horizontal="center" vertical="center"/>
    </xf>
    <xf numFmtId="0" fontId="0" fillId="32" borderId="21" xfId="0" applyFill="1" applyBorder="1" applyAlignment="1">
      <alignment horizontal="center" vertical="center"/>
    </xf>
    <xf numFmtId="0" fontId="0" fillId="28" borderId="3" xfId="0" applyFill="1" applyBorder="1" applyAlignment="1">
      <alignment horizontal="center" vertical="center"/>
    </xf>
    <xf numFmtId="0" fontId="1" fillId="28" borderId="3" xfId="0" applyFont="1" applyFill="1" applyBorder="1"/>
    <xf numFmtId="0" fontId="0" fillId="23" borderId="3" xfId="0" applyFill="1" applyBorder="1" applyAlignment="1">
      <alignment horizontal="center" vertical="center"/>
    </xf>
    <xf numFmtId="0" fontId="1" fillId="23" borderId="3" xfId="0" applyFont="1" applyFill="1" applyBorder="1"/>
    <xf numFmtId="0" fontId="0" fillId="40" borderId="3" xfId="0" applyFill="1" applyBorder="1" applyAlignment="1">
      <alignment horizontal="center" vertical="center"/>
    </xf>
    <xf numFmtId="11" fontId="0" fillId="40" borderId="3" xfId="0" applyNumberFormat="1" applyFill="1" applyBorder="1" applyAlignment="1">
      <alignment horizontal="center" vertical="center"/>
    </xf>
    <xf numFmtId="0" fontId="1" fillId="41" borderId="3" xfId="0" applyFont="1" applyFill="1" applyBorder="1"/>
    <xf numFmtId="0" fontId="0" fillId="41" borderId="3" xfId="0" applyFill="1" applyBorder="1" applyAlignment="1">
      <alignment horizontal="center" vertical="center"/>
    </xf>
    <xf numFmtId="0" fontId="0" fillId="41" borderId="4" xfId="0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0" fillId="30" borderId="4" xfId="0" applyFill="1" applyBorder="1" applyAlignment="1">
      <alignment horizontal="center" vertical="center"/>
    </xf>
    <xf numFmtId="0" fontId="0" fillId="24" borderId="4" xfId="0" applyFill="1" applyBorder="1" applyAlignment="1">
      <alignment horizontal="center" vertical="center"/>
    </xf>
    <xf numFmtId="0" fontId="0" fillId="17" borderId="4" xfId="0" applyFill="1" applyBorder="1" applyAlignment="1">
      <alignment horizontal="center" vertical="center"/>
    </xf>
    <xf numFmtId="0" fontId="0" fillId="21" borderId="4" xfId="0" applyFill="1" applyBorder="1" applyAlignment="1">
      <alignment horizontal="center" vertical="center"/>
    </xf>
    <xf numFmtId="0" fontId="0" fillId="31" borderId="4" xfId="0" applyFill="1" applyBorder="1" applyAlignment="1">
      <alignment horizontal="center" vertical="center"/>
    </xf>
    <xf numFmtId="0" fontId="0" fillId="30" borderId="4" xfId="0" applyFill="1" applyBorder="1" applyAlignment="1">
      <alignment horizontal="center"/>
    </xf>
    <xf numFmtId="0" fontId="0" fillId="30" borderId="3" xfId="0" applyFill="1" applyBorder="1" applyAlignment="1">
      <alignment horizontal="center"/>
    </xf>
    <xf numFmtId="0" fontId="0" fillId="22" borderId="0" xfId="0" applyFill="1" applyAlignment="1">
      <alignment horizontal="center"/>
    </xf>
    <xf numFmtId="0" fontId="0" fillId="31" borderId="0" xfId="0" applyFill="1" applyAlignment="1">
      <alignment horizontal="center"/>
    </xf>
    <xf numFmtId="0" fontId="0" fillId="31" borderId="33" xfId="0" applyFill="1" applyBorder="1" applyAlignment="1">
      <alignment horizontal="center" vertical="center"/>
    </xf>
    <xf numFmtId="0" fontId="0" fillId="29" borderId="4" xfId="0" applyFill="1" applyBorder="1" applyAlignment="1">
      <alignment horizontal="center" vertical="center"/>
    </xf>
    <xf numFmtId="0" fontId="0" fillId="29" borderId="3" xfId="0" applyFill="1" applyBorder="1" applyAlignment="1">
      <alignment horizontal="center" vertical="center"/>
    </xf>
    <xf numFmtId="0" fontId="0" fillId="38" borderId="4" xfId="0" applyFill="1" applyBorder="1" applyAlignment="1">
      <alignment horizontal="center" vertical="center"/>
    </xf>
    <xf numFmtId="0" fontId="0" fillId="33" borderId="4" xfId="0" applyFill="1" applyBorder="1" applyAlignment="1">
      <alignment horizontal="center" vertical="center"/>
    </xf>
    <xf numFmtId="0" fontId="0" fillId="35" borderId="4" xfId="0" applyFill="1" applyBorder="1" applyAlignment="1">
      <alignment horizontal="center" vertical="center"/>
    </xf>
    <xf numFmtId="0" fontId="0" fillId="44" borderId="3" xfId="0" applyFill="1" applyBorder="1" applyAlignment="1">
      <alignment horizontal="center" vertical="center"/>
    </xf>
    <xf numFmtId="0" fontId="1" fillId="44" borderId="3" xfId="0" applyFont="1" applyFill="1" applyBorder="1"/>
    <xf numFmtId="0" fontId="0" fillId="40" borderId="4" xfId="0" applyFill="1" applyBorder="1" applyAlignment="1">
      <alignment horizontal="center" vertical="center"/>
    </xf>
    <xf numFmtId="0" fontId="0" fillId="32" borderId="4" xfId="0" applyFill="1" applyBorder="1" applyAlignment="1">
      <alignment horizontal="center" vertical="center"/>
    </xf>
    <xf numFmtId="0" fontId="0" fillId="36" borderId="4" xfId="0" applyFill="1" applyBorder="1" applyAlignment="1">
      <alignment horizontal="center" vertical="center"/>
    </xf>
    <xf numFmtId="0" fontId="0" fillId="25" borderId="4" xfId="0" applyFill="1" applyBorder="1" applyAlignment="1">
      <alignment horizontal="center" vertical="center"/>
    </xf>
    <xf numFmtId="0" fontId="0" fillId="25" borderId="3" xfId="0" applyFill="1" applyBorder="1" applyAlignment="1">
      <alignment horizontal="center" vertical="center"/>
    </xf>
    <xf numFmtId="0" fontId="0" fillId="26" borderId="3" xfId="0" applyFill="1" applyBorder="1" applyAlignment="1">
      <alignment horizontal="center"/>
    </xf>
    <xf numFmtId="0" fontId="0" fillId="26" borderId="36" xfId="0" applyFill="1" applyBorder="1" applyAlignment="1">
      <alignment horizontal="center" vertical="center"/>
    </xf>
    <xf numFmtId="0" fontId="0" fillId="26" borderId="36" xfId="0" applyFill="1" applyBorder="1" applyAlignment="1">
      <alignment horizontal="center"/>
    </xf>
    <xf numFmtId="0" fontId="1" fillId="29" borderId="3" xfId="0" applyFont="1" applyFill="1" applyBorder="1"/>
    <xf numFmtId="11" fontId="0" fillId="31" borderId="3" xfId="0" applyNumberFormat="1" applyFill="1" applyBorder="1" applyAlignment="1">
      <alignment horizontal="center" vertical="center"/>
    </xf>
    <xf numFmtId="0" fontId="0" fillId="12" borderId="4" xfId="0" applyFill="1" applyBorder="1" applyAlignment="1">
      <alignment horizontal="center" vertical="center"/>
    </xf>
    <xf numFmtId="11" fontId="0" fillId="22" borderId="3" xfId="0" applyNumberFormat="1" applyFill="1" applyBorder="1" applyAlignment="1">
      <alignment horizontal="center"/>
    </xf>
    <xf numFmtId="11" fontId="0" fillId="31" borderId="37" xfId="0" applyNumberFormat="1" applyFill="1" applyBorder="1" applyAlignment="1">
      <alignment horizontal="center" vertical="center"/>
    </xf>
    <xf numFmtId="0" fontId="1" fillId="27" borderId="3" xfId="0" applyFont="1" applyFill="1" applyBorder="1"/>
    <xf numFmtId="0" fontId="0" fillId="27" borderId="3" xfId="0" applyFill="1" applyBorder="1" applyAlignment="1">
      <alignment horizontal="center" vertical="center"/>
    </xf>
    <xf numFmtId="11" fontId="0" fillId="27" borderId="3" xfId="0" applyNumberFormat="1" applyFill="1" applyBorder="1" applyAlignment="1">
      <alignment horizontal="center" vertical="center"/>
    </xf>
    <xf numFmtId="0" fontId="0" fillId="27" borderId="37" xfId="0" applyFill="1" applyBorder="1" applyAlignment="1">
      <alignment horizontal="center" vertical="center"/>
    </xf>
    <xf numFmtId="11" fontId="0" fillId="27" borderId="37" xfId="0" applyNumberFormat="1" applyFill="1" applyBorder="1" applyAlignment="1">
      <alignment horizontal="center" vertical="center"/>
    </xf>
    <xf numFmtId="11" fontId="0" fillId="14" borderId="37" xfId="0" applyNumberFormat="1" applyFill="1" applyBorder="1" applyAlignment="1">
      <alignment horizontal="center" vertical="center"/>
    </xf>
    <xf numFmtId="11" fontId="0" fillId="14" borderId="3" xfId="0" applyNumberFormat="1" applyFill="1" applyBorder="1" applyAlignment="1">
      <alignment horizontal="center" vertical="center"/>
    </xf>
    <xf numFmtId="0" fontId="0" fillId="25" borderId="37" xfId="0" applyFill="1" applyBorder="1" applyAlignment="1">
      <alignment horizontal="center" vertical="center"/>
    </xf>
    <xf numFmtId="11" fontId="0" fillId="25" borderId="37" xfId="0" applyNumberFormat="1" applyFill="1" applyBorder="1" applyAlignment="1">
      <alignment horizontal="center" vertical="center"/>
    </xf>
    <xf numFmtId="11" fontId="0" fillId="25" borderId="3" xfId="0" applyNumberFormat="1" applyFill="1" applyBorder="1" applyAlignment="1">
      <alignment horizontal="center" vertical="center"/>
    </xf>
    <xf numFmtId="0" fontId="1" fillId="25" borderId="3" xfId="0" applyFont="1" applyFill="1" applyBorder="1"/>
    <xf numFmtId="0" fontId="0" fillId="34" borderId="3" xfId="0" applyFill="1" applyBorder="1" applyAlignment="1">
      <alignment horizontal="center"/>
    </xf>
    <xf numFmtId="11" fontId="0" fillId="34" borderId="3" xfId="0" applyNumberFormat="1" applyFill="1" applyBorder="1" applyAlignment="1">
      <alignment horizontal="center"/>
    </xf>
    <xf numFmtId="0" fontId="1" fillId="34" borderId="3" xfId="0" applyFont="1" applyFill="1" applyBorder="1" applyAlignment="1">
      <alignment vertical="center"/>
    </xf>
    <xf numFmtId="0" fontId="0" fillId="34" borderId="36" xfId="0" applyFill="1" applyBorder="1" applyAlignment="1">
      <alignment horizontal="center"/>
    </xf>
    <xf numFmtId="11" fontId="0" fillId="13" borderId="3" xfId="0" applyNumberFormat="1" applyFill="1" applyBorder="1" applyAlignment="1">
      <alignment horizontal="center" vertical="center"/>
    </xf>
    <xf numFmtId="0" fontId="0" fillId="34" borderId="37" xfId="0" applyFill="1" applyBorder="1" applyAlignment="1">
      <alignment horizontal="center" vertical="center"/>
    </xf>
    <xf numFmtId="11" fontId="0" fillId="34" borderId="37" xfId="0" applyNumberFormat="1" applyFill="1" applyBorder="1" applyAlignment="1">
      <alignment horizontal="center" vertical="center"/>
    </xf>
    <xf numFmtId="11" fontId="0" fillId="22" borderId="37" xfId="0" applyNumberFormat="1" applyFill="1" applyBorder="1" applyAlignment="1">
      <alignment horizontal="center" vertical="center"/>
    </xf>
    <xf numFmtId="0" fontId="0" fillId="29" borderId="37" xfId="0" applyFill="1" applyBorder="1" applyAlignment="1">
      <alignment horizontal="center" vertical="center"/>
    </xf>
    <xf numFmtId="0" fontId="0" fillId="28" borderId="37" xfId="0" applyFill="1" applyBorder="1" applyAlignment="1">
      <alignment horizontal="center" vertical="center"/>
    </xf>
    <xf numFmtId="11" fontId="0" fillId="31" borderId="3" xfId="0" applyNumberFormat="1" applyFill="1" applyBorder="1" applyAlignment="1">
      <alignment horizontal="center"/>
    </xf>
    <xf numFmtId="0" fontId="0" fillId="20" borderId="37" xfId="0" applyFill="1" applyBorder="1" applyAlignment="1">
      <alignment horizontal="center" vertical="center"/>
    </xf>
    <xf numFmtId="0" fontId="0" fillId="24" borderId="37" xfId="0" applyFill="1" applyBorder="1" applyAlignment="1">
      <alignment horizontal="center" vertical="center"/>
    </xf>
    <xf numFmtId="0" fontId="0" fillId="30" borderId="0" xfId="0" applyFill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13" borderId="4" xfId="0" applyFill="1" applyBorder="1" applyAlignment="1">
      <alignment horizontal="center"/>
    </xf>
    <xf numFmtId="0" fontId="0" fillId="13" borderId="14" xfId="0" applyFill="1" applyBorder="1" applyAlignment="1">
      <alignment horizontal="center"/>
    </xf>
    <xf numFmtId="0" fontId="1" fillId="39" borderId="3" xfId="0" applyFont="1" applyFill="1" applyBorder="1"/>
    <xf numFmtId="0" fontId="0" fillId="2" borderId="40" xfId="0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17" borderId="2" xfId="0" applyFill="1" applyBorder="1" applyAlignment="1">
      <alignment horizontal="center" vertical="center"/>
    </xf>
    <xf numFmtId="0" fontId="0" fillId="17" borderId="15" xfId="0" applyFill="1" applyBorder="1" applyAlignment="1">
      <alignment horizontal="center" vertical="center"/>
    </xf>
    <xf numFmtId="0" fontId="0" fillId="42" borderId="67" xfId="0" applyFill="1" applyBorder="1" applyAlignment="1">
      <alignment horizontal="center" vertical="center"/>
    </xf>
    <xf numFmtId="0" fontId="0" fillId="42" borderId="68" xfId="0" applyFill="1" applyBorder="1" applyAlignment="1">
      <alignment horizontal="center" vertical="center"/>
    </xf>
    <xf numFmtId="0" fontId="0" fillId="42" borderId="69" xfId="0" applyFill="1" applyBorder="1" applyAlignment="1">
      <alignment horizontal="center" vertical="center"/>
    </xf>
    <xf numFmtId="0" fontId="0" fillId="42" borderId="2" xfId="0" applyFill="1" applyBorder="1" applyAlignment="1">
      <alignment horizontal="center" vertical="center"/>
    </xf>
    <xf numFmtId="0" fontId="0" fillId="22" borderId="54" xfId="0" applyFill="1" applyBorder="1" applyAlignment="1">
      <alignment horizontal="center" vertical="center"/>
    </xf>
    <xf numFmtId="0" fontId="0" fillId="9" borderId="0" xfId="0" applyFill="1" applyAlignment="1">
      <alignment horizontal="center" vertical="center"/>
    </xf>
    <xf numFmtId="0" fontId="0" fillId="23" borderId="0" xfId="0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0" fillId="26" borderId="0" xfId="0" applyFill="1" applyAlignment="1">
      <alignment horizontal="center" vertical="center"/>
    </xf>
    <xf numFmtId="0" fontId="0" fillId="34" borderId="0" xfId="0" applyFill="1" applyAlignment="1">
      <alignment horizontal="center" vertical="center"/>
    </xf>
    <xf numFmtId="0" fontId="0" fillId="37" borderId="0" xfId="0" applyFill="1" applyAlignment="1">
      <alignment horizontal="center" vertical="center"/>
    </xf>
    <xf numFmtId="0" fontId="0" fillId="14" borderId="0" xfId="0" applyFill="1" applyAlignment="1">
      <alignment horizontal="center" vertical="center"/>
    </xf>
    <xf numFmtId="0" fontId="0" fillId="36" borderId="0" xfId="0" applyFill="1" applyAlignment="1">
      <alignment horizontal="center" vertical="center"/>
    </xf>
    <xf numFmtId="0" fontId="0" fillId="25" borderId="0" xfId="0" applyFill="1" applyAlignment="1">
      <alignment horizontal="center" vertical="center"/>
    </xf>
    <xf numFmtId="0" fontId="0" fillId="28" borderId="0" xfId="0" applyFill="1" applyAlignment="1">
      <alignment horizontal="center" vertical="center"/>
    </xf>
    <xf numFmtId="0" fontId="0" fillId="12" borderId="0" xfId="0" applyFill="1" applyAlignment="1">
      <alignment horizontal="center" vertical="center"/>
    </xf>
    <xf numFmtId="0" fontId="0" fillId="41" borderId="0" xfId="0" applyFill="1" applyAlignment="1">
      <alignment horizontal="center" vertical="center"/>
    </xf>
    <xf numFmtId="0" fontId="0" fillId="24" borderId="0" xfId="0" applyFill="1" applyAlignment="1">
      <alignment horizontal="center" vertical="center"/>
    </xf>
    <xf numFmtId="0" fontId="0" fillId="38" borderId="0" xfId="0" applyFill="1" applyAlignment="1">
      <alignment vertical="center"/>
    </xf>
    <xf numFmtId="0" fontId="0" fillId="40" borderId="0" xfId="0" applyFill="1" applyAlignment="1">
      <alignment horizontal="center" vertical="center"/>
    </xf>
    <xf numFmtId="0" fontId="0" fillId="29" borderId="0" xfId="0" applyFill="1" applyAlignment="1">
      <alignment horizontal="center" vertical="center"/>
    </xf>
    <xf numFmtId="0" fontId="0" fillId="21" borderId="0" xfId="0" applyFill="1" applyAlignment="1">
      <alignment vertical="center"/>
    </xf>
    <xf numFmtId="0" fontId="0" fillId="38" borderId="11" xfId="0" applyFill="1" applyBorder="1" applyAlignment="1">
      <alignment vertical="center"/>
    </xf>
    <xf numFmtId="0" fontId="0" fillId="21" borderId="11" xfId="0" applyFill="1" applyBorder="1" applyAlignment="1">
      <alignment vertical="center"/>
    </xf>
    <xf numFmtId="0" fontId="0" fillId="27" borderId="0" xfId="0" applyFill="1"/>
    <xf numFmtId="0" fontId="0" fillId="28" borderId="0" xfId="0" applyFill="1"/>
    <xf numFmtId="0" fontId="0" fillId="34" borderId="0" xfId="0" applyFill="1"/>
    <xf numFmtId="0" fontId="0" fillId="29" borderId="0" xfId="0" applyFill="1"/>
    <xf numFmtId="0" fontId="0" fillId="32" borderId="0" xfId="0" applyFill="1"/>
    <xf numFmtId="0" fontId="0" fillId="25" borderId="0" xfId="0" applyFill="1"/>
    <xf numFmtId="0" fontId="0" fillId="26" borderId="0" xfId="0" applyFill="1"/>
    <xf numFmtId="0" fontId="0" fillId="14" borderId="0" xfId="0" applyFill="1"/>
    <xf numFmtId="0" fontId="0" fillId="44" borderId="0" xfId="0" applyFill="1" applyAlignment="1">
      <alignment horizontal="center" vertical="center"/>
    </xf>
    <xf numFmtId="0" fontId="0" fillId="44" borderId="0" xfId="0" applyFill="1"/>
    <xf numFmtId="0" fontId="0" fillId="8" borderId="0" xfId="0" applyFill="1"/>
    <xf numFmtId="0" fontId="0" fillId="21" borderId="0" xfId="0" applyFill="1" applyAlignment="1">
      <alignment horizontal="center" vertical="center"/>
    </xf>
    <xf numFmtId="0" fontId="0" fillId="21" borderId="0" xfId="0" applyFill="1"/>
    <xf numFmtId="0" fontId="0" fillId="13" borderId="0" xfId="0" applyFill="1"/>
    <xf numFmtId="0" fontId="0" fillId="23" borderId="0" xfId="0" applyFill="1"/>
    <xf numFmtId="0" fontId="0" fillId="30" borderId="0" xfId="0" applyFill="1"/>
    <xf numFmtId="0" fontId="0" fillId="9" borderId="0" xfId="0" applyFill="1"/>
    <xf numFmtId="0" fontId="0" fillId="6" borderId="0" xfId="0" applyFill="1"/>
    <xf numFmtId="0" fontId="0" fillId="33" borderId="0" xfId="0" applyFill="1"/>
    <xf numFmtId="0" fontId="0" fillId="8" borderId="0" xfId="0" applyFill="1" applyAlignment="1">
      <alignment horizontal="center"/>
    </xf>
    <xf numFmtId="0" fontId="0" fillId="30" borderId="0" xfId="0" applyFill="1" applyAlignment="1">
      <alignment horizontal="center"/>
    </xf>
    <xf numFmtId="0" fontId="0" fillId="38" borderId="0" xfId="0" applyFill="1" applyAlignment="1">
      <alignment horizontal="center" vertical="center"/>
    </xf>
    <xf numFmtId="0" fontId="0" fillId="36" borderId="0" xfId="0" applyFill="1"/>
    <xf numFmtId="0" fontId="0" fillId="17" borderId="0" xfId="0" applyFill="1"/>
    <xf numFmtId="0" fontId="0" fillId="11" borderId="0" xfId="0" applyFill="1"/>
    <xf numFmtId="0" fontId="0" fillId="12" borderId="0" xfId="0" applyFill="1"/>
    <xf numFmtId="0" fontId="0" fillId="41" borderId="0" xfId="0" applyFill="1"/>
    <xf numFmtId="0" fontId="0" fillId="37" borderId="0" xfId="0" applyFill="1"/>
    <xf numFmtId="0" fontId="0" fillId="43" borderId="0" xfId="0" applyFill="1"/>
    <xf numFmtId="0" fontId="0" fillId="38" borderId="0" xfId="0" applyFill="1"/>
    <xf numFmtId="0" fontId="0" fillId="31" borderId="0" xfId="0" applyFill="1"/>
    <xf numFmtId="0" fontId="0" fillId="35" borderId="0" xfId="0" applyFill="1"/>
    <xf numFmtId="0" fontId="0" fillId="39" borderId="0" xfId="0" applyFill="1"/>
    <xf numFmtId="0" fontId="0" fillId="40" borderId="0" xfId="0" applyFill="1"/>
    <xf numFmtId="0" fontId="0" fillId="24" borderId="0" xfId="0" applyFill="1"/>
    <xf numFmtId="0" fontId="0" fillId="20" borderId="66" xfId="0" applyFill="1" applyBorder="1" applyAlignment="1">
      <alignment horizontal="center" vertical="center"/>
    </xf>
    <xf numFmtId="0" fontId="0" fillId="44" borderId="66" xfId="0" applyFill="1" applyBorder="1" applyAlignment="1">
      <alignment horizontal="center" vertical="center"/>
    </xf>
    <xf numFmtId="11" fontId="0" fillId="44" borderId="37" xfId="0" applyNumberFormat="1" applyFill="1" applyBorder="1" applyAlignment="1">
      <alignment horizontal="center" vertical="center"/>
    </xf>
    <xf numFmtId="11" fontId="0" fillId="44" borderId="39" xfId="0" applyNumberFormat="1" applyFill="1" applyBorder="1" applyAlignment="1">
      <alignment horizontal="center"/>
    </xf>
    <xf numFmtId="0" fontId="0" fillId="20" borderId="15" xfId="0" applyFill="1" applyBorder="1" applyAlignment="1">
      <alignment horizontal="center" vertical="center"/>
    </xf>
    <xf numFmtId="0" fontId="0" fillId="20" borderId="15" xfId="0" applyFill="1" applyBorder="1" applyAlignment="1">
      <alignment horizontal="center"/>
    </xf>
    <xf numFmtId="0" fontId="1" fillId="20" borderId="15" xfId="0" applyFont="1" applyFill="1" applyBorder="1"/>
    <xf numFmtId="0" fontId="0" fillId="15" borderId="0" xfId="0" applyFill="1" applyAlignment="1">
      <alignment horizontal="center"/>
    </xf>
    <xf numFmtId="0" fontId="0" fillId="0" borderId="10" xfId="0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9" borderId="11" xfId="0" applyFill="1" applyBorder="1" applyAlignment="1">
      <alignment horizontal="center" vertical="center"/>
    </xf>
    <xf numFmtId="0" fontId="0" fillId="23" borderId="11" xfId="0" applyFill="1" applyBorder="1" applyAlignment="1">
      <alignment horizontal="center" vertical="center"/>
    </xf>
    <xf numFmtId="0" fontId="0" fillId="23" borderId="4" xfId="0" applyFill="1" applyBorder="1" applyAlignment="1">
      <alignment horizontal="center" vertical="center"/>
    </xf>
    <xf numFmtId="0" fontId="0" fillId="8" borderId="11" xfId="0" applyFill="1" applyBorder="1" applyAlignment="1">
      <alignment horizontal="center" vertical="center"/>
    </xf>
    <xf numFmtId="0" fontId="0" fillId="26" borderId="11" xfId="0" applyFill="1" applyBorder="1" applyAlignment="1">
      <alignment horizontal="center" vertical="center"/>
    </xf>
    <xf numFmtId="0" fontId="0" fillId="26" borderId="4" xfId="0" applyFill="1" applyBorder="1" applyAlignment="1">
      <alignment horizontal="center" vertical="center"/>
    </xf>
    <xf numFmtId="0" fontId="0" fillId="34" borderId="11" xfId="0" applyFill="1" applyBorder="1" applyAlignment="1">
      <alignment horizontal="center" vertical="center"/>
    </xf>
    <xf numFmtId="0" fontId="0" fillId="34" borderId="4" xfId="0" applyFill="1" applyBorder="1" applyAlignment="1">
      <alignment horizontal="center" vertical="center"/>
    </xf>
    <xf numFmtId="0" fontId="0" fillId="37" borderId="11" xfId="0" applyFill="1" applyBorder="1" applyAlignment="1">
      <alignment horizontal="center" vertical="center"/>
    </xf>
    <xf numFmtId="0" fontId="0" fillId="37" borderId="4" xfId="0" applyFill="1" applyBorder="1" applyAlignment="1">
      <alignment horizontal="center" vertical="center"/>
    </xf>
    <xf numFmtId="0" fontId="0" fillId="35" borderId="11" xfId="0" applyFill="1" applyBorder="1" applyAlignment="1">
      <alignment horizontal="center" vertical="center"/>
    </xf>
    <xf numFmtId="0" fontId="0" fillId="27" borderId="11" xfId="0" applyFill="1" applyBorder="1" applyAlignment="1">
      <alignment horizontal="center" vertical="center"/>
    </xf>
    <xf numFmtId="0" fontId="0" fillId="27" borderId="4" xfId="0" applyFill="1" applyBorder="1" applyAlignment="1">
      <alignment horizontal="center" vertical="center"/>
    </xf>
    <xf numFmtId="0" fontId="0" fillId="39" borderId="11" xfId="0" applyFill="1" applyBorder="1" applyAlignment="1">
      <alignment horizontal="center" vertical="center"/>
    </xf>
    <xf numFmtId="0" fontId="0" fillId="39" borderId="4" xfId="0" applyFill="1" applyBorder="1" applyAlignment="1">
      <alignment horizontal="center" vertical="center"/>
    </xf>
    <xf numFmtId="0" fontId="0" fillId="32" borderId="11" xfId="0" applyFill="1" applyBorder="1" applyAlignment="1">
      <alignment horizontal="center" vertical="center"/>
    </xf>
    <xf numFmtId="0" fontId="0" fillId="30" borderId="11" xfId="0" applyFill="1" applyBorder="1" applyAlignment="1">
      <alignment horizontal="center" vertical="center"/>
    </xf>
    <xf numFmtId="0" fontId="0" fillId="13" borderId="11" xfId="0" applyFill="1" applyBorder="1" applyAlignment="1">
      <alignment horizontal="center" vertical="center"/>
    </xf>
    <xf numFmtId="0" fontId="0" fillId="14" borderId="11" xfId="0" applyFill="1" applyBorder="1" applyAlignment="1">
      <alignment horizontal="center" vertical="center"/>
    </xf>
    <xf numFmtId="0" fontId="0" fillId="36" borderId="11" xfId="0" applyFill="1" applyBorder="1" applyAlignment="1">
      <alignment horizontal="center" vertical="center"/>
    </xf>
    <xf numFmtId="0" fontId="0" fillId="25" borderId="11" xfId="0" applyFill="1" applyBorder="1" applyAlignment="1">
      <alignment horizontal="center" vertical="center"/>
    </xf>
    <xf numFmtId="0" fontId="0" fillId="28" borderId="11" xfId="0" applyFill="1" applyBorder="1" applyAlignment="1">
      <alignment horizontal="center" vertical="center"/>
    </xf>
    <xf numFmtId="0" fontId="0" fillId="28" borderId="4" xfId="0" applyFill="1" applyBorder="1" applyAlignment="1">
      <alignment horizontal="center" vertical="center"/>
    </xf>
    <xf numFmtId="0" fontId="0" fillId="17" borderId="11" xfId="0" applyFill="1" applyBorder="1" applyAlignment="1">
      <alignment horizontal="center" vertical="center"/>
    </xf>
    <xf numFmtId="0" fontId="0" fillId="12" borderId="11" xfId="0" applyFill="1" applyBorder="1" applyAlignment="1">
      <alignment horizontal="center" vertical="center"/>
    </xf>
    <xf numFmtId="0" fontId="0" fillId="41" borderId="11" xfId="0" applyFill="1" applyBorder="1" applyAlignment="1">
      <alignment horizontal="center" vertical="center"/>
    </xf>
    <xf numFmtId="0" fontId="0" fillId="43" borderId="11" xfId="0" applyFill="1" applyBorder="1" applyAlignment="1">
      <alignment horizontal="center" vertical="center"/>
    </xf>
    <xf numFmtId="0" fontId="0" fillId="43" borderId="4" xfId="0" applyFill="1" applyBorder="1" applyAlignment="1">
      <alignment horizontal="center" vertical="center"/>
    </xf>
    <xf numFmtId="0" fontId="0" fillId="24" borderId="11" xfId="0" applyFill="1" applyBorder="1" applyAlignment="1">
      <alignment horizontal="center" vertical="center"/>
    </xf>
    <xf numFmtId="0" fontId="0" fillId="11" borderId="11" xfId="0" applyFill="1" applyBorder="1" applyAlignment="1">
      <alignment horizontal="center" vertical="center"/>
    </xf>
    <xf numFmtId="0" fontId="0" fillId="40" borderId="11" xfId="0" applyFill="1" applyBorder="1" applyAlignment="1">
      <alignment horizontal="center" vertical="center"/>
    </xf>
    <xf numFmtId="0" fontId="0" fillId="29" borderId="11" xfId="0" applyFill="1" applyBorder="1" applyAlignment="1">
      <alignment horizontal="center" vertical="center"/>
    </xf>
    <xf numFmtId="0" fontId="0" fillId="20" borderId="11" xfId="0" applyFill="1" applyBorder="1" applyAlignment="1">
      <alignment horizontal="center" vertical="center"/>
    </xf>
    <xf numFmtId="0" fontId="0" fillId="20" borderId="4" xfId="0" applyFill="1" applyBorder="1" applyAlignment="1">
      <alignment horizontal="center" vertical="center"/>
    </xf>
    <xf numFmtId="0" fontId="0" fillId="44" borderId="12" xfId="0" applyFill="1" applyBorder="1" applyAlignment="1">
      <alignment horizontal="center" vertical="center"/>
    </xf>
    <xf numFmtId="0" fontId="0" fillId="44" borderId="14" xfId="0" applyFill="1" applyBorder="1" applyAlignment="1">
      <alignment horizontal="center" vertical="center"/>
    </xf>
    <xf numFmtId="0" fontId="0" fillId="38" borderId="11" xfId="0" applyFill="1" applyBorder="1" applyAlignment="1">
      <alignment horizontal="center" vertical="center"/>
    </xf>
    <xf numFmtId="0" fontId="0" fillId="21" borderId="11" xfId="0" applyFill="1" applyBorder="1" applyAlignment="1">
      <alignment horizontal="center" vertical="center"/>
    </xf>
    <xf numFmtId="0" fontId="0" fillId="44" borderId="13" xfId="0" applyFill="1" applyBorder="1" applyAlignment="1">
      <alignment horizontal="center" vertical="center"/>
    </xf>
    <xf numFmtId="11" fontId="0" fillId="40" borderId="4" xfId="0" applyNumberFormat="1" applyFill="1" applyBorder="1" applyAlignment="1">
      <alignment horizontal="center" vertical="center"/>
    </xf>
    <xf numFmtId="0" fontId="0" fillId="8" borderId="4" xfId="0" applyFill="1" applyBorder="1" applyAlignment="1">
      <alignment horizontal="center"/>
    </xf>
    <xf numFmtId="0" fontId="0" fillId="27" borderId="11" xfId="0" applyFill="1" applyBorder="1"/>
    <xf numFmtId="0" fontId="0" fillId="27" borderId="4" xfId="0" applyFill="1" applyBorder="1"/>
    <xf numFmtId="0" fontId="0" fillId="9" borderId="4" xfId="0" applyFill="1" applyBorder="1"/>
    <xf numFmtId="0" fontId="0" fillId="23" borderId="4" xfId="0" applyFill="1" applyBorder="1"/>
    <xf numFmtId="0" fontId="0" fillId="34" borderId="4" xfId="0" applyFill="1" applyBorder="1"/>
    <xf numFmtId="0" fontId="0" fillId="35" borderId="11" xfId="0" applyFill="1" applyBorder="1"/>
    <xf numFmtId="0" fontId="0" fillId="35" borderId="4" xfId="0" applyFill="1" applyBorder="1"/>
    <xf numFmtId="0" fontId="0" fillId="33" borderId="11" xfId="0" applyFill="1" applyBorder="1"/>
    <xf numFmtId="0" fontId="0" fillId="33" borderId="4" xfId="0" applyFill="1" applyBorder="1"/>
    <xf numFmtId="0" fontId="0" fillId="39" borderId="11" xfId="0" applyFill="1" applyBorder="1"/>
    <xf numFmtId="0" fontId="0" fillId="39" borderId="4" xfId="0" applyFill="1" applyBorder="1"/>
    <xf numFmtId="0" fontId="0" fillId="32" borderId="4" xfId="0" applyFill="1" applyBorder="1"/>
    <xf numFmtId="0" fontId="0" fillId="30" borderId="4" xfId="0" applyFill="1" applyBorder="1"/>
    <xf numFmtId="0" fontId="0" fillId="13" borderId="4" xfId="0" applyFill="1" applyBorder="1"/>
    <xf numFmtId="0" fontId="0" fillId="14" borderId="4" xfId="0" applyFill="1" applyBorder="1"/>
    <xf numFmtId="0" fontId="0" fillId="36" borderId="4" xfId="0" applyFill="1" applyBorder="1"/>
    <xf numFmtId="0" fontId="0" fillId="25" borderId="4" xfId="0" applyFill="1" applyBorder="1"/>
    <xf numFmtId="0" fontId="0" fillId="28" borderId="4" xfId="0" applyFill="1" applyBorder="1"/>
    <xf numFmtId="0" fontId="0" fillId="17" borderId="4" xfId="0" applyFill="1" applyBorder="1"/>
    <xf numFmtId="0" fontId="0" fillId="12" borderId="4" xfId="0" applyFill="1" applyBorder="1"/>
    <xf numFmtId="0" fontId="0" fillId="41" borderId="4" xfId="0" applyFill="1" applyBorder="1"/>
    <xf numFmtId="0" fontId="0" fillId="43" borderId="4" xfId="0" applyFill="1" applyBorder="1"/>
    <xf numFmtId="0" fontId="0" fillId="24" borderId="4" xfId="0" applyFill="1" applyBorder="1"/>
    <xf numFmtId="0" fontId="0" fillId="11" borderId="4" xfId="0" applyFill="1" applyBorder="1"/>
    <xf numFmtId="0" fontId="0" fillId="38" borderId="4" xfId="0" applyFill="1" applyBorder="1"/>
    <xf numFmtId="0" fontId="0" fillId="40" borderId="4" xfId="0" applyFill="1" applyBorder="1"/>
    <xf numFmtId="0" fontId="0" fillId="29" borderId="4" xfId="0" applyFill="1" applyBorder="1"/>
    <xf numFmtId="0" fontId="0" fillId="21" borderId="4" xfId="0" applyFill="1" applyBorder="1"/>
    <xf numFmtId="0" fontId="0" fillId="20" borderId="4" xfId="0" applyFill="1" applyBorder="1"/>
    <xf numFmtId="0" fontId="0" fillId="44" borderId="14" xfId="0" applyFill="1" applyBorder="1"/>
    <xf numFmtId="0" fontId="0" fillId="9" borderId="11" xfId="0" applyFill="1" applyBorder="1"/>
    <xf numFmtId="0" fontId="0" fillId="23" borderId="11" xfId="0" applyFill="1" applyBorder="1"/>
    <xf numFmtId="0" fontId="0" fillId="26" borderId="4" xfId="0" applyFill="1" applyBorder="1" applyAlignment="1">
      <alignment horizontal="center"/>
    </xf>
    <xf numFmtId="0" fontId="0" fillId="34" borderId="11" xfId="0" applyFill="1" applyBorder="1"/>
    <xf numFmtId="0" fontId="0" fillId="32" borderId="11" xfId="0" applyFill="1" applyBorder="1"/>
    <xf numFmtId="0" fontId="0" fillId="30" borderId="11" xfId="0" applyFill="1" applyBorder="1"/>
    <xf numFmtId="0" fontId="0" fillId="13" borderId="11" xfId="0" applyFill="1" applyBorder="1"/>
    <xf numFmtId="0" fontId="0" fillId="14" borderId="11" xfId="0" applyFill="1" applyBorder="1"/>
    <xf numFmtId="0" fontId="0" fillId="36" borderId="11" xfId="0" applyFill="1" applyBorder="1"/>
    <xf numFmtId="0" fontId="0" fillId="25" borderId="11" xfId="0" applyFill="1" applyBorder="1"/>
    <xf numFmtId="0" fontId="0" fillId="28" borderId="11" xfId="0" applyFill="1" applyBorder="1"/>
    <xf numFmtId="0" fontId="0" fillId="17" borderId="11" xfId="0" applyFill="1" applyBorder="1"/>
    <xf numFmtId="0" fontId="0" fillId="12" borderId="11" xfId="0" applyFill="1" applyBorder="1"/>
    <xf numFmtId="0" fontId="0" fillId="41" borderId="11" xfId="0" applyFill="1" applyBorder="1"/>
    <xf numFmtId="0" fontId="0" fillId="43" borderId="11" xfId="0" applyFill="1" applyBorder="1"/>
    <xf numFmtId="0" fontId="0" fillId="24" borderId="11" xfId="0" applyFill="1" applyBorder="1"/>
    <xf numFmtId="0" fontId="0" fillId="11" borderId="11" xfId="0" applyFill="1" applyBorder="1"/>
    <xf numFmtId="0" fontId="0" fillId="38" borderId="11" xfId="0" applyFill="1" applyBorder="1"/>
    <xf numFmtId="0" fontId="0" fillId="40" borderId="11" xfId="0" applyFill="1" applyBorder="1"/>
    <xf numFmtId="0" fontId="0" fillId="29" borderId="11" xfId="0" applyFill="1" applyBorder="1"/>
    <xf numFmtId="0" fontId="0" fillId="21" borderId="11" xfId="0" applyFill="1" applyBorder="1"/>
    <xf numFmtId="0" fontId="0" fillId="20" borderId="11" xfId="0" applyFill="1" applyBorder="1"/>
    <xf numFmtId="0" fontId="0" fillId="44" borderId="12" xfId="0" applyFill="1" applyBorder="1"/>
    <xf numFmtId="0" fontId="0" fillId="37" borderId="11" xfId="0" applyFill="1" applyBorder="1"/>
    <xf numFmtId="0" fontId="0" fillId="37" borderId="4" xfId="0" applyFill="1" applyBorder="1"/>
    <xf numFmtId="0" fontId="0" fillId="22" borderId="11" xfId="0" applyFill="1" applyBorder="1"/>
    <xf numFmtId="0" fontId="0" fillId="8" borderId="11" xfId="0" applyFill="1" applyBorder="1"/>
    <xf numFmtId="0" fontId="0" fillId="8" borderId="4" xfId="0" applyFill="1" applyBorder="1"/>
    <xf numFmtId="0" fontId="0" fillId="26" borderId="11" xfId="0" applyFill="1" applyBorder="1"/>
    <xf numFmtId="0" fontId="0" fillId="26" borderId="4" xfId="0" applyFill="1" applyBorder="1"/>
    <xf numFmtId="0" fontId="0" fillId="34" borderId="4" xfId="0" applyFill="1" applyBorder="1" applyAlignment="1">
      <alignment horizontal="center"/>
    </xf>
    <xf numFmtId="11" fontId="0" fillId="31" borderId="4" xfId="0" applyNumberFormat="1" applyFill="1" applyBorder="1" applyAlignment="1">
      <alignment horizontal="center" vertical="center"/>
    </xf>
    <xf numFmtId="11" fontId="0" fillId="27" borderId="4" xfId="0" applyNumberFormat="1" applyFill="1" applyBorder="1" applyAlignment="1">
      <alignment horizontal="center" vertical="center"/>
    </xf>
    <xf numFmtId="11" fontId="0" fillId="25" borderId="4" xfId="0" applyNumberFormat="1" applyFill="1" applyBorder="1" applyAlignment="1">
      <alignment horizontal="center" vertical="center"/>
    </xf>
    <xf numFmtId="0" fontId="0" fillId="6" borderId="11" xfId="0" applyFill="1" applyBorder="1"/>
    <xf numFmtId="0" fontId="0" fillId="6" borderId="4" xfId="0" applyFill="1" applyBorder="1"/>
    <xf numFmtId="11" fontId="0" fillId="14" borderId="4" xfId="0" applyNumberFormat="1" applyFill="1" applyBorder="1" applyAlignment="1">
      <alignment horizontal="center" vertical="center"/>
    </xf>
    <xf numFmtId="11" fontId="0" fillId="8" borderId="4" xfId="0" applyNumberFormat="1" applyFill="1" applyBorder="1" applyAlignment="1">
      <alignment horizontal="center" vertical="center"/>
    </xf>
    <xf numFmtId="11" fontId="0" fillId="34" borderId="4" xfId="0" applyNumberFormat="1" applyFill="1" applyBorder="1" applyAlignment="1">
      <alignment horizontal="center" vertical="center"/>
    </xf>
    <xf numFmtId="11" fontId="0" fillId="22" borderId="4" xfId="0" applyNumberFormat="1" applyFill="1" applyBorder="1" applyAlignment="1">
      <alignment horizontal="center" vertical="center"/>
    </xf>
    <xf numFmtId="0" fontId="0" fillId="31" borderId="11" xfId="0" applyFill="1" applyBorder="1"/>
    <xf numFmtId="0" fontId="0" fillId="31" borderId="4" xfId="0" applyFill="1" applyBorder="1"/>
    <xf numFmtId="11" fontId="0" fillId="13" borderId="4" xfId="0" applyNumberFormat="1" applyFill="1" applyBorder="1" applyAlignment="1">
      <alignment horizontal="center" vertical="center"/>
    </xf>
    <xf numFmtId="11" fontId="0" fillId="44" borderId="14" xfId="0" applyNumberFormat="1" applyFill="1" applyBorder="1" applyAlignment="1">
      <alignment horizontal="center" vertical="center"/>
    </xf>
    <xf numFmtId="0" fontId="1" fillId="0" borderId="35" xfId="0" applyFont="1" applyBorder="1" applyAlignment="1">
      <alignment horizontal="center" vertical="center"/>
    </xf>
    <xf numFmtId="0" fontId="1" fillId="0" borderId="36" xfId="0" applyFont="1" applyBorder="1" applyAlignment="1">
      <alignment horizontal="center" vertical="center"/>
    </xf>
    <xf numFmtId="0" fontId="1" fillId="0" borderId="38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35" xfId="0" applyFont="1" applyBorder="1" applyAlignment="1">
      <alignment horizontal="center" vertical="center" wrapText="1"/>
    </xf>
    <xf numFmtId="0" fontId="1" fillId="0" borderId="36" xfId="0" applyFont="1" applyBorder="1" applyAlignment="1">
      <alignment horizontal="center" vertical="center" wrapText="1"/>
    </xf>
    <xf numFmtId="0" fontId="1" fillId="0" borderId="38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2" xfId="0" applyFont="1" applyBorder="1" applyAlignment="1">
      <alignment vertical="center"/>
    </xf>
    <xf numFmtId="0" fontId="1" fillId="0" borderId="3" xfId="0" applyFont="1" applyBorder="1" applyAlignment="1">
      <alignment vertical="center"/>
    </xf>
    <xf numFmtId="0" fontId="1" fillId="0" borderId="15" xfId="0" applyFont="1" applyBorder="1" applyAlignment="1">
      <alignment vertical="center"/>
    </xf>
    <xf numFmtId="0" fontId="8" fillId="0" borderId="8" xfId="0" applyFont="1" applyBorder="1" applyAlignment="1">
      <alignment horizontal="center" vertical="center" wrapText="1"/>
    </xf>
    <xf numFmtId="0" fontId="8" fillId="0" borderId="50" xfId="0" applyFont="1" applyBorder="1" applyAlignment="1">
      <alignment horizontal="center" vertical="center" wrapText="1"/>
    </xf>
    <xf numFmtId="0" fontId="0" fillId="17" borderId="13" xfId="0" applyFill="1" applyBorder="1" applyAlignment="1">
      <alignment horizontal="center" vertical="center"/>
    </xf>
    <xf numFmtId="0" fontId="0" fillId="13" borderId="15" xfId="0" applyFill="1" applyBorder="1" applyAlignment="1">
      <alignment horizontal="center" vertical="center"/>
    </xf>
    <xf numFmtId="0" fontId="0" fillId="0" borderId="70" xfId="0" applyBorder="1" applyAlignment="1">
      <alignment horizontal="center"/>
    </xf>
    <xf numFmtId="0" fontId="0" fillId="0" borderId="55" xfId="0" applyBorder="1" applyAlignment="1">
      <alignment horizontal="center"/>
    </xf>
    <xf numFmtId="0" fontId="0" fillId="0" borderId="71" xfId="0" applyBorder="1" applyAlignment="1">
      <alignment horizontal="center"/>
    </xf>
    <xf numFmtId="0" fontId="0" fillId="0" borderId="62" xfId="0" applyBorder="1" applyAlignment="1">
      <alignment horizontal="center"/>
    </xf>
    <xf numFmtId="0" fontId="1" fillId="0" borderId="70" xfId="0" applyFont="1" applyBorder="1" applyAlignment="1">
      <alignment horizontal="center" vertical="center"/>
    </xf>
    <xf numFmtId="0" fontId="1" fillId="0" borderId="55" xfId="0" applyFont="1" applyBorder="1" applyAlignment="1">
      <alignment horizontal="center" vertical="center"/>
    </xf>
    <xf numFmtId="0" fontId="0" fillId="0" borderId="62" xfId="0" applyBorder="1"/>
    <xf numFmtId="0" fontId="0" fillId="0" borderId="3" xfId="0" applyBorder="1"/>
    <xf numFmtId="0" fontId="0" fillId="0" borderId="2" xfId="0" applyBorder="1"/>
    <xf numFmtId="0" fontId="0" fillId="0" borderId="28" xfId="0" applyBorder="1"/>
    <xf numFmtId="0" fontId="0" fillId="0" borderId="2" xfId="0" applyBorder="1" applyAlignment="1">
      <alignment horizontal="center"/>
    </xf>
    <xf numFmtId="0" fontId="1" fillId="24" borderId="20" xfId="0" applyFont="1" applyFill="1" applyBorder="1" applyAlignment="1">
      <alignment horizontal="center" vertical="center"/>
    </xf>
    <xf numFmtId="0" fontId="1" fillId="24" borderId="21" xfId="0" applyFont="1" applyFill="1" applyBorder="1" applyAlignment="1">
      <alignment horizontal="center" vertical="center"/>
    </xf>
    <xf numFmtId="0" fontId="1" fillId="24" borderId="22" xfId="0" applyFont="1" applyFill="1" applyBorder="1" applyAlignment="1">
      <alignment horizontal="center" vertical="center"/>
    </xf>
    <xf numFmtId="0" fontId="1" fillId="24" borderId="65" xfId="0" applyFont="1" applyFill="1" applyBorder="1" applyAlignment="1">
      <alignment horizontal="center" vertical="center"/>
    </xf>
    <xf numFmtId="0" fontId="1" fillId="24" borderId="2" xfId="0" applyFont="1" applyFill="1" applyBorder="1" applyAlignment="1">
      <alignment horizontal="center" vertical="center"/>
    </xf>
    <xf numFmtId="0" fontId="1" fillId="24" borderId="3" xfId="0" applyFont="1" applyFill="1" applyBorder="1" applyAlignment="1">
      <alignment horizontal="center" vertical="center"/>
    </xf>
    <xf numFmtId="0" fontId="1" fillId="24" borderId="15" xfId="0" applyFont="1" applyFill="1" applyBorder="1" applyAlignment="1">
      <alignment horizontal="center" vertical="center"/>
    </xf>
    <xf numFmtId="0" fontId="0" fillId="24" borderId="35" xfId="0" applyFill="1" applyBorder="1" applyAlignment="1">
      <alignment horizontal="center"/>
    </xf>
    <xf numFmtId="0" fontId="0" fillId="24" borderId="36" xfId="0" applyFill="1" applyBorder="1" applyAlignment="1">
      <alignment horizontal="center"/>
    </xf>
    <xf numFmtId="0" fontId="0" fillId="24" borderId="38" xfId="0" applyFill="1" applyBorder="1" applyAlignment="1">
      <alignment horizontal="center"/>
    </xf>
    <xf numFmtId="0" fontId="1" fillId="24" borderId="35" xfId="0" applyFont="1" applyFill="1" applyBorder="1" applyAlignment="1">
      <alignment horizontal="center"/>
    </xf>
    <xf numFmtId="0" fontId="1" fillId="24" borderId="36" xfId="0" applyFont="1" applyFill="1" applyBorder="1" applyAlignment="1">
      <alignment horizontal="center"/>
    </xf>
    <xf numFmtId="0" fontId="1" fillId="24" borderId="38" xfId="0" applyFont="1" applyFill="1" applyBorder="1" applyAlignment="1">
      <alignment horizontal="center"/>
    </xf>
    <xf numFmtId="0" fontId="1" fillId="24" borderId="35" xfId="0" applyFont="1" applyFill="1" applyBorder="1" applyAlignment="1">
      <alignment horizontal="center" vertical="center" wrapText="1"/>
    </xf>
    <xf numFmtId="0" fontId="1" fillId="24" borderId="36" xfId="0" applyFont="1" applyFill="1" applyBorder="1" applyAlignment="1">
      <alignment horizontal="center" vertical="center" wrapText="1"/>
    </xf>
    <xf numFmtId="0" fontId="1" fillId="24" borderId="38" xfId="0" applyFont="1" applyFill="1" applyBorder="1" applyAlignment="1">
      <alignment horizontal="center" vertical="center" wrapText="1"/>
    </xf>
    <xf numFmtId="0" fontId="1" fillId="24" borderId="2" xfId="0" applyFont="1" applyFill="1" applyBorder="1" applyAlignment="1">
      <alignment horizontal="center" vertical="center" wrapText="1"/>
    </xf>
    <xf numFmtId="0" fontId="1" fillId="24" borderId="3" xfId="0" applyFont="1" applyFill="1" applyBorder="1" applyAlignment="1">
      <alignment horizontal="center" vertical="center" wrapText="1"/>
    </xf>
    <xf numFmtId="0" fontId="1" fillId="24" borderId="15" xfId="0" applyFont="1" applyFill="1" applyBorder="1" applyAlignment="1">
      <alignment horizontal="center" vertical="center" wrapText="1"/>
    </xf>
    <xf numFmtId="0" fontId="1" fillId="24" borderId="35" xfId="0" applyFont="1" applyFill="1" applyBorder="1" applyAlignment="1">
      <alignment horizontal="center" vertical="center"/>
    </xf>
    <xf numFmtId="0" fontId="1" fillId="24" borderId="36" xfId="0" applyFont="1" applyFill="1" applyBorder="1" applyAlignment="1">
      <alignment horizontal="center" vertical="center"/>
    </xf>
    <xf numFmtId="0" fontId="1" fillId="24" borderId="38" xfId="0" applyFont="1" applyFill="1" applyBorder="1" applyAlignment="1">
      <alignment horizontal="center" vertical="center"/>
    </xf>
    <xf numFmtId="0" fontId="1" fillId="24" borderId="2" xfId="0" applyFont="1" applyFill="1" applyBorder="1" applyAlignment="1">
      <alignment horizontal="center"/>
    </xf>
    <xf numFmtId="0" fontId="1" fillId="24" borderId="3" xfId="0" applyFont="1" applyFill="1" applyBorder="1" applyAlignment="1">
      <alignment horizontal="center"/>
    </xf>
    <xf numFmtId="0" fontId="1" fillId="24" borderId="15" xfId="0" applyFont="1" applyFill="1" applyBorder="1" applyAlignment="1">
      <alignment horizontal="center"/>
    </xf>
    <xf numFmtId="0" fontId="0" fillId="0" borderId="72" xfId="0" applyBorder="1" applyAlignment="1">
      <alignment horizontal="center"/>
    </xf>
    <xf numFmtId="0" fontId="0" fillId="17" borderId="4" xfId="0" applyFill="1" applyBorder="1" applyAlignment="1">
      <alignment vertical="center"/>
    </xf>
    <xf numFmtId="0" fontId="0" fillId="17" borderId="14" xfId="0" applyFill="1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15" xfId="0" applyBorder="1" applyAlignment="1">
      <alignment vertical="center"/>
    </xf>
    <xf numFmtId="0" fontId="0" fillId="24" borderId="12" xfId="0" applyFill="1" applyBorder="1"/>
    <xf numFmtId="0" fontId="0" fillId="24" borderId="64" xfId="0" applyFill="1" applyBorder="1"/>
    <xf numFmtId="0" fontId="0" fillId="0" borderId="6" xfId="0" applyBorder="1" applyAlignment="1">
      <alignment vertical="center"/>
    </xf>
    <xf numFmtId="0" fontId="0" fillId="13" borderId="13" xfId="0" applyFill="1" applyBorder="1" applyAlignment="1">
      <alignment horizontal="center" vertical="center"/>
    </xf>
    <xf numFmtId="0" fontId="0" fillId="30" borderId="13" xfId="0" applyFill="1" applyBorder="1" applyAlignment="1">
      <alignment horizontal="center" vertical="center"/>
    </xf>
    <xf numFmtId="0" fontId="0" fillId="30" borderId="15" xfId="0" applyFill="1" applyBorder="1" applyAlignment="1">
      <alignment horizontal="center" vertical="center"/>
    </xf>
    <xf numFmtId="0" fontId="0" fillId="2" borderId="28" xfId="0" applyFill="1" applyBorder="1" applyAlignment="1">
      <alignment horizontal="center" vertical="center"/>
    </xf>
    <xf numFmtId="0" fontId="0" fillId="2" borderId="10" xfId="0" applyFill="1" applyBorder="1" applyAlignment="1">
      <alignment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vertical="center"/>
    </xf>
    <xf numFmtId="0" fontId="0" fillId="2" borderId="7" xfId="0" applyFill="1" applyBorder="1" applyAlignment="1">
      <alignment horizontal="center" vertical="center"/>
    </xf>
    <xf numFmtId="0" fontId="1" fillId="0" borderId="50" xfId="0" applyFont="1" applyBorder="1" applyAlignment="1">
      <alignment horizontal="center" vertical="center"/>
    </xf>
    <xf numFmtId="0" fontId="1" fillId="0" borderId="72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51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0" borderId="4" xfId="0" applyBorder="1" applyAlignment="1">
      <alignment vertical="center"/>
    </xf>
    <xf numFmtId="0" fontId="0" fillId="0" borderId="14" xfId="0" applyBorder="1" applyAlignment="1">
      <alignment vertical="center"/>
    </xf>
    <xf numFmtId="0" fontId="1" fillId="0" borderId="55" xfId="0" applyFont="1" applyBorder="1" applyAlignment="1">
      <alignment horizontal="left" vertical="center" wrapText="1"/>
    </xf>
    <xf numFmtId="0" fontId="0" fillId="0" borderId="73" xfId="0" applyBorder="1"/>
    <xf numFmtId="0" fontId="0" fillId="0" borderId="73" xfId="0" applyBorder="1" applyAlignment="1">
      <alignment horizontal="center" vertical="center" wrapText="1"/>
    </xf>
    <xf numFmtId="0" fontId="1" fillId="0" borderId="73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 wrapText="1"/>
    </xf>
    <xf numFmtId="0" fontId="1" fillId="0" borderId="73" xfId="0" applyFont="1" applyBorder="1" applyAlignment="1">
      <alignment horizontal="left" vertical="center" wrapText="1"/>
    </xf>
    <xf numFmtId="0" fontId="1" fillId="0" borderId="28" xfId="0" applyFont="1" applyBorder="1" applyAlignment="1">
      <alignment horizontal="left" vertical="center" wrapText="1"/>
    </xf>
    <xf numFmtId="0" fontId="0" fillId="0" borderId="56" xfId="0" applyBorder="1" applyAlignment="1">
      <alignment horizontal="center" vertical="center"/>
    </xf>
    <xf numFmtId="0" fontId="1" fillId="0" borderId="28" xfId="0" applyFont="1" applyBorder="1" applyAlignment="1">
      <alignment horizontal="center"/>
    </xf>
    <xf numFmtId="0" fontId="1" fillId="0" borderId="5" xfId="0" applyFont="1" applyBorder="1" applyAlignment="1">
      <alignment horizontal="center" vertical="center"/>
    </xf>
    <xf numFmtId="0" fontId="0" fillId="6" borderId="28" xfId="0" applyFill="1" applyBorder="1" applyAlignment="1">
      <alignment horizontal="center" vertical="center"/>
    </xf>
    <xf numFmtId="0" fontId="0" fillId="6" borderId="6" xfId="0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9" borderId="28" xfId="0" applyFill="1" applyBorder="1" applyAlignment="1">
      <alignment horizontal="center" vertical="center"/>
    </xf>
    <xf numFmtId="0" fontId="1" fillId="0" borderId="39" xfId="0" applyFont="1" applyBorder="1" applyAlignment="1">
      <alignment horizontal="center" vertical="center"/>
    </xf>
    <xf numFmtId="0" fontId="0" fillId="6" borderId="3" xfId="0" applyFill="1" applyBorder="1" applyAlignment="1">
      <alignment vertical="center"/>
    </xf>
    <xf numFmtId="0" fontId="0" fillId="9" borderId="3" xfId="0" applyFill="1" applyBorder="1" applyAlignment="1">
      <alignment vertical="center"/>
    </xf>
    <xf numFmtId="0" fontId="0" fillId="17" borderId="14" xfId="0" applyFill="1" applyBorder="1" applyAlignment="1">
      <alignment horizontal="center" vertical="center"/>
    </xf>
    <xf numFmtId="0" fontId="1" fillId="2" borderId="28" xfId="0" applyFont="1" applyFill="1" applyBorder="1" applyAlignment="1">
      <alignment horizontal="center" vertical="center"/>
    </xf>
    <xf numFmtId="0" fontId="1" fillId="2" borderId="28" xfId="0" applyFont="1" applyFill="1" applyBorder="1"/>
    <xf numFmtId="0" fontId="1" fillId="2" borderId="28" xfId="0" applyFont="1" applyFill="1" applyBorder="1" applyAlignment="1">
      <alignment vertical="center"/>
    </xf>
    <xf numFmtId="0" fontId="1" fillId="2" borderId="28" xfId="0" applyFont="1" applyFill="1" applyBorder="1" applyAlignment="1">
      <alignment horizontal="center"/>
    </xf>
    <xf numFmtId="0" fontId="1" fillId="2" borderId="9" xfId="0" applyFont="1" applyFill="1" applyBorder="1"/>
    <xf numFmtId="0" fontId="1" fillId="2" borderId="2" xfId="0" applyFont="1" applyFill="1" applyBorder="1" applyAlignment="1">
      <alignment horizontal="center"/>
    </xf>
    <xf numFmtId="0" fontId="0" fillId="0" borderId="72" xfId="0" applyBorder="1"/>
    <xf numFmtId="0" fontId="1" fillId="0" borderId="48" xfId="0" applyFont="1" applyBorder="1" applyAlignment="1">
      <alignment horizontal="center" vertical="center"/>
    </xf>
    <xf numFmtId="0" fontId="0" fillId="9" borderId="11" xfId="0" applyFill="1" applyBorder="1" applyAlignment="1">
      <alignment horizontal="center"/>
    </xf>
    <xf numFmtId="0" fontId="0" fillId="22" borderId="33" xfId="0" applyFill="1" applyBorder="1" applyAlignment="1">
      <alignment horizontal="center" vertical="center"/>
    </xf>
    <xf numFmtId="11" fontId="0" fillId="40" borderId="11" xfId="0" applyNumberFormat="1" applyFill="1" applyBorder="1" applyAlignment="1">
      <alignment horizontal="center" vertical="center"/>
    </xf>
    <xf numFmtId="0" fontId="0" fillId="0" borderId="34" xfId="0" applyBorder="1" applyAlignment="1">
      <alignment horizontal="center"/>
    </xf>
    <xf numFmtId="0" fontId="1" fillId="0" borderId="35" xfId="0" applyFont="1" applyBorder="1" applyAlignment="1">
      <alignment horizontal="center"/>
    </xf>
    <xf numFmtId="0" fontId="0" fillId="6" borderId="74" xfId="0" applyFill="1" applyBorder="1" applyAlignment="1">
      <alignment horizontal="center"/>
    </xf>
    <xf numFmtId="0" fontId="0" fillId="6" borderId="7" xfId="0" applyFill="1" applyBorder="1" applyAlignment="1">
      <alignment horizontal="center" vertical="center"/>
    </xf>
    <xf numFmtId="0" fontId="0" fillId="22" borderId="3" xfId="0" applyFill="1" applyBorder="1"/>
    <xf numFmtId="0" fontId="0" fillId="31" borderId="3" xfId="0" applyFill="1" applyBorder="1" applyAlignment="1">
      <alignment vertical="center"/>
    </xf>
    <xf numFmtId="0" fontId="0" fillId="31" borderId="3" xfId="0" applyFill="1" applyBorder="1"/>
    <xf numFmtId="0" fontId="0" fillId="6" borderId="11" xfId="0" applyFill="1" applyBorder="1" applyAlignment="1">
      <alignment horizontal="center"/>
    </xf>
    <xf numFmtId="0" fontId="0" fillId="6" borderId="2" xfId="0" applyFill="1" applyBorder="1" applyAlignment="1">
      <alignment horizontal="center"/>
    </xf>
    <xf numFmtId="0" fontId="6" fillId="0" borderId="0" xfId="0" applyFont="1" applyAlignment="1">
      <alignment horizontal="center" vertical="center"/>
    </xf>
    <xf numFmtId="0" fontId="0" fillId="3" borderId="28" xfId="0" applyFill="1" applyBorder="1" applyAlignment="1">
      <alignment horizontal="center" vertical="center"/>
    </xf>
    <xf numFmtId="0" fontId="8" fillId="0" borderId="39" xfId="0" applyFont="1" applyBorder="1" applyAlignment="1">
      <alignment vertical="center" wrapText="1"/>
    </xf>
    <xf numFmtId="0" fontId="0" fillId="0" borderId="36" xfId="0" applyBorder="1" applyAlignment="1">
      <alignment vertical="center"/>
    </xf>
    <xf numFmtId="0" fontId="0" fillId="0" borderId="38" xfId="0" applyBorder="1" applyAlignment="1">
      <alignment vertical="center"/>
    </xf>
    <xf numFmtId="0" fontId="11" fillId="0" borderId="3" xfId="0" applyFont="1" applyBorder="1" applyAlignment="1">
      <alignment horizontal="center" vertical="center" wrapText="1"/>
    </xf>
    <xf numFmtId="0" fontId="0" fillId="2" borderId="11" xfId="0" applyFill="1" applyBorder="1" applyAlignment="1">
      <alignment horizontal="left" vertical="center"/>
    </xf>
    <xf numFmtId="0" fontId="0" fillId="0" borderId="9" xfId="0" applyBorder="1" applyAlignment="1">
      <alignment horizontal="left"/>
    </xf>
    <xf numFmtId="0" fontId="0" fillId="0" borderId="28" xfId="0" applyBorder="1" applyAlignment="1">
      <alignment horizontal="center" vertical="center"/>
    </xf>
    <xf numFmtId="0" fontId="0" fillId="0" borderId="28" xfId="0" applyBorder="1" applyAlignment="1">
      <alignment vertical="center"/>
    </xf>
    <xf numFmtId="0" fontId="1" fillId="0" borderId="6" xfId="0" applyFont="1" applyBorder="1" applyAlignment="1">
      <alignment vertical="center"/>
    </xf>
    <xf numFmtId="0" fontId="1" fillId="0" borderId="17" xfId="0" applyFont="1" applyBorder="1" applyAlignment="1">
      <alignment horizontal="left" vertical="center" wrapText="1"/>
    </xf>
    <xf numFmtId="0" fontId="1" fillId="0" borderId="9" xfId="0" applyFont="1" applyBorder="1" applyAlignment="1">
      <alignment vertical="center"/>
    </xf>
    <xf numFmtId="0" fontId="1" fillId="0" borderId="10" xfId="0" applyFont="1" applyBorder="1" applyAlignment="1">
      <alignment vertical="center"/>
    </xf>
    <xf numFmtId="0" fontId="1" fillId="0" borderId="23" xfId="0" applyFont="1" applyBorder="1" applyAlignment="1">
      <alignment vertical="center" wrapText="1"/>
    </xf>
    <xf numFmtId="0" fontId="0" fillId="17" borderId="23" xfId="0" applyFill="1" applyBorder="1" applyAlignment="1">
      <alignment horizontal="center" vertical="center"/>
    </xf>
    <xf numFmtId="0" fontId="1" fillId="0" borderId="23" xfId="0" applyFont="1" applyBorder="1" applyAlignment="1">
      <alignment vertical="center"/>
    </xf>
    <xf numFmtId="0" fontId="0" fillId="6" borderId="23" xfId="0" applyFill="1" applyBorder="1" applyAlignment="1">
      <alignment horizontal="center" vertical="center"/>
    </xf>
    <xf numFmtId="0" fontId="0" fillId="6" borderId="23" xfId="0" applyFill="1" applyBorder="1" applyAlignment="1">
      <alignment horizontal="center"/>
    </xf>
    <xf numFmtId="0" fontId="0" fillId="9" borderId="23" xfId="0" applyFill="1" applyBorder="1" applyAlignment="1">
      <alignment horizontal="center" vertical="center"/>
    </xf>
    <xf numFmtId="0" fontId="0" fillId="8" borderId="23" xfId="0" applyFill="1" applyBorder="1" applyAlignment="1">
      <alignment horizontal="center" vertical="center"/>
    </xf>
    <xf numFmtId="0" fontId="0" fillId="8" borderId="23" xfId="0" applyFill="1" applyBorder="1" applyAlignment="1">
      <alignment horizontal="center"/>
    </xf>
    <xf numFmtId="0" fontId="0" fillId="17" borderId="23" xfId="0" applyFill="1" applyBorder="1" applyAlignment="1">
      <alignment vertical="center"/>
    </xf>
    <xf numFmtId="0" fontId="0" fillId="22" borderId="23" xfId="0" applyFill="1" applyBorder="1" applyAlignment="1">
      <alignment horizontal="center"/>
    </xf>
    <xf numFmtId="0" fontId="0" fillId="15" borderId="23" xfId="0" applyFill="1" applyBorder="1" applyAlignment="1">
      <alignment horizontal="center" vertical="center"/>
    </xf>
    <xf numFmtId="0" fontId="0" fillId="30" borderId="23" xfId="0" applyFill="1" applyBorder="1" applyAlignment="1">
      <alignment horizontal="center" vertical="center"/>
    </xf>
    <xf numFmtId="0" fontId="0" fillId="30" borderId="23" xfId="0" applyFill="1" applyBorder="1" applyAlignment="1">
      <alignment horizontal="center"/>
    </xf>
    <xf numFmtId="0" fontId="0" fillId="5" borderId="23" xfId="0" applyFill="1" applyBorder="1" applyAlignment="1">
      <alignment horizontal="center" vertical="center"/>
    </xf>
    <xf numFmtId="0" fontId="0" fillId="32" borderId="23" xfId="0" applyFill="1" applyBorder="1" applyAlignment="1">
      <alignment horizontal="center" vertical="center"/>
    </xf>
    <xf numFmtId="0" fontId="0" fillId="13" borderId="23" xfId="0" applyFill="1" applyBorder="1" applyAlignment="1">
      <alignment horizontal="center" vertical="center"/>
    </xf>
    <xf numFmtId="0" fontId="0" fillId="0" borderId="23" xfId="0" applyBorder="1" applyAlignment="1">
      <alignment vertical="center" wrapText="1"/>
    </xf>
    <xf numFmtId="0" fontId="0" fillId="0" borderId="23" xfId="0" applyBorder="1" applyAlignment="1">
      <alignment vertical="center"/>
    </xf>
    <xf numFmtId="0" fontId="0" fillId="16" borderId="23" xfId="0" applyFill="1" applyBorder="1" applyAlignment="1">
      <alignment vertical="center"/>
    </xf>
    <xf numFmtId="0" fontId="0" fillId="16" borderId="23" xfId="0" applyFill="1" applyBorder="1" applyAlignment="1">
      <alignment horizontal="center" vertical="center"/>
    </xf>
    <xf numFmtId="0" fontId="0" fillId="13" borderId="23" xfId="0" applyFill="1" applyBorder="1" applyAlignment="1">
      <alignment vertical="center"/>
    </xf>
    <xf numFmtId="0" fontId="0" fillId="41" borderId="23" xfId="0" applyFill="1" applyBorder="1" applyAlignment="1">
      <alignment horizontal="center" vertical="center"/>
    </xf>
    <xf numFmtId="0" fontId="0" fillId="7" borderId="23" xfId="0" applyFill="1" applyBorder="1" applyAlignment="1">
      <alignment horizontal="center" vertical="center"/>
    </xf>
    <xf numFmtId="0" fontId="0" fillId="7" borderId="23" xfId="0" applyFill="1" applyBorder="1" applyAlignment="1">
      <alignment horizontal="center"/>
    </xf>
    <xf numFmtId="0" fontId="0" fillId="14" borderId="23" xfId="0" applyFill="1" applyBorder="1" applyAlignment="1">
      <alignment horizontal="center" vertical="center"/>
    </xf>
    <xf numFmtId="0" fontId="0" fillId="9" borderId="23" xfId="0" applyFill="1" applyBorder="1" applyAlignment="1">
      <alignment horizontal="center"/>
    </xf>
    <xf numFmtId="0" fontId="0" fillId="23" borderId="23" xfId="0" applyFill="1" applyBorder="1" applyAlignment="1">
      <alignment horizontal="center" vertical="center"/>
    </xf>
    <xf numFmtId="0" fontId="0" fillId="36" borderId="23" xfId="0" applyFill="1" applyBorder="1" applyAlignment="1">
      <alignment horizontal="center" vertical="center"/>
    </xf>
    <xf numFmtId="0" fontId="0" fillId="40" borderId="23" xfId="0" applyFill="1" applyBorder="1" applyAlignment="1">
      <alignment horizontal="center" vertical="center"/>
    </xf>
    <xf numFmtId="11" fontId="0" fillId="40" borderId="23" xfId="0" applyNumberFormat="1" applyFill="1" applyBorder="1" applyAlignment="1">
      <alignment horizontal="center" vertical="center"/>
    </xf>
    <xf numFmtId="0" fontId="0" fillId="10" borderId="23" xfId="0" applyFill="1" applyBorder="1" applyAlignment="1">
      <alignment horizontal="center" vertical="center"/>
    </xf>
    <xf numFmtId="0" fontId="0" fillId="11" borderId="23" xfId="0" applyFill="1" applyBorder="1" applyAlignment="1">
      <alignment horizontal="center" vertical="center"/>
    </xf>
    <xf numFmtId="0" fontId="0" fillId="22" borderId="23" xfId="0" applyFill="1" applyBorder="1"/>
    <xf numFmtId="0" fontId="0" fillId="31" borderId="23" xfId="0" applyFill="1" applyBorder="1" applyAlignment="1">
      <alignment vertical="center"/>
    </xf>
    <xf numFmtId="0" fontId="0" fillId="31" borderId="23" xfId="0" applyFill="1" applyBorder="1"/>
    <xf numFmtId="0" fontId="0" fillId="26" borderId="23" xfId="0" applyFill="1" applyBorder="1" applyAlignment="1">
      <alignment horizontal="center" vertical="center"/>
    </xf>
    <xf numFmtId="0" fontId="0" fillId="26" borderId="23" xfId="0" applyFill="1" applyBorder="1" applyAlignment="1">
      <alignment horizontal="center"/>
    </xf>
    <xf numFmtId="0" fontId="0" fillId="12" borderId="23" xfId="0" applyFill="1" applyBorder="1" applyAlignment="1">
      <alignment horizontal="center" vertical="center"/>
    </xf>
    <xf numFmtId="0" fontId="0" fillId="34" borderId="23" xfId="0" applyFill="1" applyBorder="1" applyAlignment="1">
      <alignment horizontal="center" vertical="center"/>
    </xf>
    <xf numFmtId="0" fontId="0" fillId="34" borderId="23" xfId="0" applyFill="1" applyBorder="1" applyAlignment="1">
      <alignment horizontal="center"/>
    </xf>
    <xf numFmtId="11" fontId="0" fillId="31" borderId="23" xfId="0" applyNumberFormat="1" applyFill="1" applyBorder="1" applyAlignment="1">
      <alignment horizontal="center" vertical="center"/>
    </xf>
    <xf numFmtId="11" fontId="0" fillId="33" borderId="23" xfId="0" applyNumberFormat="1" applyFill="1" applyBorder="1" applyAlignment="1">
      <alignment horizontal="center" vertical="center"/>
    </xf>
    <xf numFmtId="0" fontId="0" fillId="25" borderId="23" xfId="0" applyFill="1" applyBorder="1" applyAlignment="1">
      <alignment horizontal="center" vertical="center"/>
    </xf>
    <xf numFmtId="11" fontId="0" fillId="25" borderId="23" xfId="0" applyNumberFormat="1" applyFill="1" applyBorder="1" applyAlignment="1">
      <alignment horizontal="center" vertical="center"/>
    </xf>
    <xf numFmtId="11" fontId="0" fillId="14" borderId="23" xfId="0" applyNumberFormat="1" applyFill="1" applyBorder="1" applyAlignment="1">
      <alignment horizontal="center" vertical="center"/>
    </xf>
    <xf numFmtId="11" fontId="0" fillId="8" borderId="23" xfId="0" applyNumberFormat="1" applyFill="1" applyBorder="1" applyAlignment="1">
      <alignment horizontal="center" vertical="center"/>
    </xf>
    <xf numFmtId="11" fontId="0" fillId="34" borderId="23" xfId="0" applyNumberFormat="1" applyFill="1" applyBorder="1" applyAlignment="1">
      <alignment horizontal="center" vertical="center"/>
    </xf>
    <xf numFmtId="11" fontId="0" fillId="22" borderId="23" xfId="0" applyNumberFormat="1" applyFill="1" applyBorder="1" applyAlignment="1">
      <alignment horizontal="center" vertical="center"/>
    </xf>
    <xf numFmtId="11" fontId="0" fillId="27" borderId="23" xfId="0" applyNumberFormat="1" applyFill="1" applyBorder="1" applyAlignment="1">
      <alignment horizontal="center" vertical="center"/>
    </xf>
    <xf numFmtId="0" fontId="0" fillId="18" borderId="23" xfId="0" applyFill="1" applyBorder="1" applyAlignment="1">
      <alignment horizontal="center" vertical="center"/>
    </xf>
    <xf numFmtId="0" fontId="0" fillId="28" borderId="23" xfId="0" applyFill="1" applyBorder="1" applyAlignment="1">
      <alignment horizontal="center" vertical="center"/>
    </xf>
    <xf numFmtId="0" fontId="0" fillId="29" borderId="23" xfId="0" applyFill="1" applyBorder="1" applyAlignment="1">
      <alignment horizontal="center" vertical="center"/>
    </xf>
    <xf numFmtId="0" fontId="0" fillId="24" borderId="23" xfId="0" applyFill="1" applyBorder="1" applyAlignment="1">
      <alignment horizontal="center" vertical="center"/>
    </xf>
    <xf numFmtId="0" fontId="0" fillId="3" borderId="23" xfId="0" applyFill="1" applyBorder="1" applyAlignment="1">
      <alignment horizontal="center" vertical="center"/>
    </xf>
    <xf numFmtId="11" fontId="0" fillId="13" borderId="23" xfId="0" applyNumberFormat="1" applyFill="1" applyBorder="1" applyAlignment="1">
      <alignment horizontal="center" vertical="center"/>
    </xf>
    <xf numFmtId="0" fontId="0" fillId="44" borderId="23" xfId="0" applyFill="1" applyBorder="1" applyAlignment="1">
      <alignment horizontal="center" vertical="center"/>
    </xf>
    <xf numFmtId="11" fontId="0" fillId="44" borderId="23" xfId="0" applyNumberFormat="1" applyFill="1" applyBorder="1" applyAlignment="1">
      <alignment horizontal="center" vertical="center"/>
    </xf>
    <xf numFmtId="0" fontId="0" fillId="20" borderId="23" xfId="0" applyFill="1" applyBorder="1" applyAlignment="1">
      <alignment horizontal="center" vertical="center"/>
    </xf>
    <xf numFmtId="0" fontId="0" fillId="15" borderId="23" xfId="0" applyFill="1" applyBorder="1" applyAlignment="1">
      <alignment horizontal="center"/>
    </xf>
    <xf numFmtId="0" fontId="0" fillId="21" borderId="23" xfId="0" applyFill="1" applyBorder="1" applyAlignment="1">
      <alignment horizontal="center" vertical="center"/>
    </xf>
    <xf numFmtId="0" fontId="0" fillId="43" borderId="23" xfId="0" applyFill="1" applyBorder="1" applyAlignment="1">
      <alignment horizontal="center" vertical="center"/>
    </xf>
    <xf numFmtId="0" fontId="1" fillId="0" borderId="5" xfId="0" applyFont="1" applyBorder="1" applyAlignment="1">
      <alignment vertical="center"/>
    </xf>
    <xf numFmtId="0" fontId="1" fillId="0" borderId="28" xfId="0" applyFont="1" applyBorder="1" applyAlignment="1">
      <alignment vertical="center"/>
    </xf>
    <xf numFmtId="0" fontId="1" fillId="0" borderId="9" xfId="0" applyFont="1" applyBorder="1" applyAlignment="1">
      <alignment horizontal="center" vertical="center"/>
    </xf>
    <xf numFmtId="0" fontId="1" fillId="15" borderId="5" xfId="0" applyFont="1" applyFill="1" applyBorder="1" applyAlignment="1">
      <alignment horizontal="left" vertical="center"/>
    </xf>
    <xf numFmtId="0" fontId="1" fillId="15" borderId="28" xfId="0" applyFont="1" applyFill="1" applyBorder="1" applyAlignment="1">
      <alignment horizontal="center" vertical="center"/>
    </xf>
    <xf numFmtId="0" fontId="1" fillId="15" borderId="28" xfId="0" applyFont="1" applyFill="1" applyBorder="1"/>
    <xf numFmtId="0" fontId="1" fillId="15" borderId="6" xfId="0" applyFont="1" applyFill="1" applyBorder="1" applyAlignment="1">
      <alignment horizontal="center" vertical="center"/>
    </xf>
    <xf numFmtId="0" fontId="1" fillId="15" borderId="0" xfId="0" applyFont="1" applyFill="1" applyAlignment="1">
      <alignment horizontal="center" vertical="center"/>
    </xf>
    <xf numFmtId="0" fontId="1" fillId="2" borderId="5" xfId="0" applyFont="1" applyFill="1" applyBorder="1"/>
    <xf numFmtId="0" fontId="1" fillId="0" borderId="28" xfId="0" applyFont="1" applyBorder="1"/>
    <xf numFmtId="0" fontId="1" fillId="35" borderId="6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left" vertical="center"/>
    </xf>
    <xf numFmtId="0" fontId="1" fillId="2" borderId="35" xfId="0" applyFont="1" applyFill="1" applyBorder="1" applyAlignment="1">
      <alignment horizontal="center" vertical="center"/>
    </xf>
    <xf numFmtId="0" fontId="1" fillId="0" borderId="49" xfId="0" applyFont="1" applyBorder="1"/>
    <xf numFmtId="0" fontId="1" fillId="35" borderId="49" xfId="0" applyFont="1" applyFill="1" applyBorder="1" applyAlignment="1">
      <alignment horizontal="center" vertical="center"/>
    </xf>
    <xf numFmtId="0" fontId="1" fillId="35" borderId="28" xfId="0" applyFont="1" applyFill="1" applyBorder="1" applyAlignment="1">
      <alignment horizontal="center" vertical="center"/>
    </xf>
    <xf numFmtId="0" fontId="1" fillId="2" borderId="38" xfId="0" applyFont="1" applyFill="1" applyBorder="1" applyAlignment="1">
      <alignment horizontal="center" vertical="center"/>
    </xf>
    <xf numFmtId="0" fontId="1" fillId="0" borderId="53" xfId="0" applyFont="1" applyBorder="1"/>
    <xf numFmtId="0" fontId="1" fillId="35" borderId="53" xfId="0" applyFont="1" applyFill="1" applyBorder="1" applyAlignment="1">
      <alignment horizontal="center" vertical="center"/>
    </xf>
    <xf numFmtId="0" fontId="1" fillId="0" borderId="8" xfId="0" applyFont="1" applyBorder="1"/>
    <xf numFmtId="0" fontId="1" fillId="35" borderId="8" xfId="0" applyFont="1" applyFill="1" applyBorder="1" applyAlignment="1">
      <alignment horizontal="center" vertical="center"/>
    </xf>
    <xf numFmtId="0" fontId="1" fillId="2" borderId="36" xfId="0" applyFont="1" applyFill="1" applyBorder="1" applyAlignment="1">
      <alignment horizontal="center" vertical="center"/>
    </xf>
    <xf numFmtId="0" fontId="1" fillId="35" borderId="0" xfId="0" applyFont="1" applyFill="1" applyAlignment="1">
      <alignment horizontal="center" vertical="center"/>
    </xf>
    <xf numFmtId="0" fontId="1" fillId="0" borderId="13" xfId="0" applyFont="1" applyBorder="1"/>
    <xf numFmtId="0" fontId="1" fillId="35" borderId="13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15" xfId="0" applyFont="1" applyFill="1" applyBorder="1" applyAlignment="1">
      <alignment horizontal="center" vertical="center"/>
    </xf>
    <xf numFmtId="0" fontId="1" fillId="2" borderId="32" xfId="0" applyFont="1" applyFill="1" applyBorder="1" applyAlignment="1">
      <alignment horizontal="center" vertical="center"/>
    </xf>
    <xf numFmtId="0" fontId="1" fillId="35" borderId="35" xfId="0" applyFont="1" applyFill="1" applyBorder="1" applyAlignment="1">
      <alignment horizontal="center" vertical="center"/>
    </xf>
    <xf numFmtId="0" fontId="1" fillId="2" borderId="34" xfId="0" applyFont="1" applyFill="1" applyBorder="1" applyAlignment="1">
      <alignment horizontal="center" vertical="center"/>
    </xf>
    <xf numFmtId="0" fontId="1" fillId="35" borderId="38" xfId="0" applyFont="1" applyFill="1" applyBorder="1" applyAlignment="1">
      <alignment horizontal="center" vertical="center"/>
    </xf>
    <xf numFmtId="0" fontId="1" fillId="35" borderId="10" xfId="0" applyFont="1" applyFill="1" applyBorder="1" applyAlignment="1">
      <alignment horizontal="center" vertical="center"/>
    </xf>
    <xf numFmtId="0" fontId="1" fillId="35" borderId="14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12" fillId="0" borderId="5" xfId="0" applyFont="1" applyBorder="1" applyAlignment="1">
      <alignment horizontal="left" vertical="center"/>
    </xf>
    <xf numFmtId="0" fontId="12" fillId="0" borderId="7" xfId="0" applyFont="1" applyBorder="1"/>
    <xf numFmtId="0" fontId="12" fillId="0" borderId="6" xfId="0" applyFont="1" applyBorder="1"/>
    <xf numFmtId="0" fontId="12" fillId="0" borderId="28" xfId="0" applyFont="1" applyBorder="1"/>
    <xf numFmtId="0" fontId="12" fillId="35" borderId="28" xfId="0" applyFont="1" applyFill="1" applyBorder="1" applyAlignment="1">
      <alignment horizontal="center" vertical="center"/>
    </xf>
    <xf numFmtId="0" fontId="1" fillId="0" borderId="61" xfId="0" applyFont="1" applyBorder="1" applyAlignment="1">
      <alignment horizontal="center" vertical="center"/>
    </xf>
    <xf numFmtId="0" fontId="1" fillId="0" borderId="21" xfId="0" applyFont="1" applyBorder="1" applyAlignment="1">
      <alignment horizontal="center" vertical="center"/>
    </xf>
    <xf numFmtId="0" fontId="0" fillId="0" borderId="21" xfId="0" applyBorder="1" applyAlignment="1">
      <alignment vertical="center"/>
    </xf>
    <xf numFmtId="0" fontId="0" fillId="0" borderId="22" xfId="0" applyBorder="1" applyAlignment="1">
      <alignment vertical="center"/>
    </xf>
    <xf numFmtId="0" fontId="0" fillId="0" borderId="7" xfId="0" applyBorder="1" applyAlignment="1">
      <alignment vertical="center"/>
    </xf>
    <xf numFmtId="0" fontId="1" fillId="0" borderId="28" xfId="0" applyFont="1" applyBorder="1" applyAlignment="1">
      <alignment vertical="center" wrapText="1"/>
    </xf>
    <xf numFmtId="0" fontId="1" fillId="0" borderId="5" xfId="0" applyFont="1" applyBorder="1" applyAlignment="1">
      <alignment horizontal="left" vertical="center" wrapText="1"/>
    </xf>
    <xf numFmtId="0" fontId="13" fillId="0" borderId="6" xfId="0" applyFont="1" applyBorder="1" applyAlignment="1">
      <alignment horizontal="center" vertical="center"/>
    </xf>
    <xf numFmtId="0" fontId="14" fillId="0" borderId="28" xfId="0" applyFont="1" applyBorder="1" applyAlignment="1">
      <alignment vertical="center"/>
    </xf>
    <xf numFmtId="0" fontId="1" fillId="0" borderId="6" xfId="0" applyFont="1" applyBorder="1"/>
    <xf numFmtId="0" fontId="1" fillId="0" borderId="6" xfId="0" applyFont="1" applyBorder="1" applyAlignment="1">
      <alignment horizontal="center"/>
    </xf>
    <xf numFmtId="0" fontId="0" fillId="0" borderId="11" xfId="0" applyBorder="1" applyAlignment="1">
      <alignment horizontal="left" vertical="center" wrapText="1"/>
    </xf>
    <xf numFmtId="0" fontId="1" fillId="2" borderId="9" xfId="0" applyFont="1" applyFill="1" applyBorder="1" applyAlignment="1">
      <alignment vertical="center" wrapText="1"/>
    </xf>
    <xf numFmtId="0" fontId="1" fillId="0" borderId="35" xfId="0" applyFont="1" applyBorder="1" applyAlignment="1">
      <alignment vertical="center" wrapText="1"/>
    </xf>
    <xf numFmtId="0" fontId="13" fillId="0" borderId="23" xfId="0" applyFont="1" applyBorder="1" applyAlignment="1">
      <alignment horizontal="center" vertical="center"/>
    </xf>
    <xf numFmtId="0" fontId="14" fillId="0" borderId="23" xfId="0" applyFont="1" applyBorder="1" applyAlignment="1">
      <alignment vertical="center"/>
    </xf>
    <xf numFmtId="0" fontId="1" fillId="0" borderId="23" xfId="0" applyFont="1" applyBorder="1"/>
    <xf numFmtId="0" fontId="1" fillId="0" borderId="23" xfId="0" applyFont="1" applyBorder="1" applyAlignment="1">
      <alignment horizontal="center"/>
    </xf>
    <xf numFmtId="0" fontId="0" fillId="15" borderId="23" xfId="0" applyFill="1" applyBorder="1"/>
    <xf numFmtId="0" fontId="0" fillId="0" borderId="55" xfId="0" applyBorder="1"/>
    <xf numFmtId="0" fontId="1" fillId="15" borderId="36" xfId="0" applyFont="1" applyFill="1" applyBorder="1" applyAlignment="1">
      <alignment horizontal="center" vertical="center"/>
    </xf>
    <xf numFmtId="0" fontId="0" fillId="0" borderId="23" xfId="0" applyBorder="1" applyAlignment="1">
      <alignment wrapText="1"/>
    </xf>
    <xf numFmtId="0" fontId="0" fillId="40" borderId="62" xfId="0" applyFill="1" applyBorder="1"/>
    <xf numFmtId="0" fontId="0" fillId="38" borderId="70" xfId="0" applyFill="1" applyBorder="1"/>
    <xf numFmtId="0" fontId="0" fillId="0" borderId="51" xfId="0" applyBorder="1"/>
    <xf numFmtId="0" fontId="0" fillId="42" borderId="23" xfId="0" applyFill="1" applyBorder="1" applyAlignment="1">
      <alignment horizontal="center" vertical="center"/>
    </xf>
    <xf numFmtId="0" fontId="0" fillId="48" borderId="23" xfId="0" applyFill="1" applyBorder="1" applyAlignment="1">
      <alignment horizontal="center" vertical="center"/>
    </xf>
    <xf numFmtId="0" fontId="0" fillId="49" borderId="23" xfId="0" applyFill="1" applyBorder="1" applyAlignment="1">
      <alignment horizontal="center" vertical="center"/>
    </xf>
    <xf numFmtId="0" fontId="0" fillId="47" borderId="23" xfId="0" applyFill="1" applyBorder="1" applyAlignment="1">
      <alignment horizontal="center" vertical="center"/>
    </xf>
    <xf numFmtId="0" fontId="0" fillId="50" borderId="23" xfId="0" applyFill="1" applyBorder="1" applyAlignment="1">
      <alignment horizontal="center" vertical="center"/>
    </xf>
    <xf numFmtId="0" fontId="0" fillId="51" borderId="23" xfId="0" applyFill="1" applyBorder="1" applyAlignment="1">
      <alignment horizontal="center" vertical="center"/>
    </xf>
    <xf numFmtId="0" fontId="0" fillId="52" borderId="23" xfId="0" applyFill="1" applyBorder="1" applyAlignment="1">
      <alignment horizontal="center" vertical="center"/>
    </xf>
    <xf numFmtId="0" fontId="0" fillId="53" borderId="23" xfId="0" applyFill="1" applyBorder="1" applyAlignment="1">
      <alignment horizontal="center" vertical="center"/>
    </xf>
    <xf numFmtId="0" fontId="1" fillId="15" borderId="23" xfId="0" applyFont="1" applyFill="1" applyBorder="1" applyAlignment="1">
      <alignment vertical="center" wrapText="1"/>
    </xf>
    <xf numFmtId="0" fontId="0" fillId="15" borderId="23" xfId="0" applyFill="1" applyBorder="1" applyAlignment="1">
      <alignment vertical="center" wrapText="1"/>
    </xf>
    <xf numFmtId="0" fontId="0" fillId="15" borderId="23" xfId="0" applyFill="1" applyBorder="1" applyAlignment="1">
      <alignment vertical="center"/>
    </xf>
    <xf numFmtId="0" fontId="1" fillId="15" borderId="3" xfId="0" applyFont="1" applyFill="1" applyBorder="1" applyAlignment="1">
      <alignment horizontal="center" vertical="center" wrapText="1"/>
    </xf>
    <xf numFmtId="0" fontId="1" fillId="15" borderId="23" xfId="0" applyFont="1" applyFill="1" applyBorder="1" applyAlignment="1">
      <alignment horizontal="center" vertical="center"/>
    </xf>
    <xf numFmtId="0" fontId="1" fillId="15" borderId="55" xfId="0" applyFont="1" applyFill="1" applyBorder="1" applyAlignment="1">
      <alignment horizontal="center" vertical="center"/>
    </xf>
    <xf numFmtId="0" fontId="16" fillId="15" borderId="23" xfId="0" applyFont="1" applyFill="1" applyBorder="1" applyAlignment="1">
      <alignment vertical="center"/>
    </xf>
    <xf numFmtId="2" fontId="0" fillId="0" borderId="23" xfId="0" applyNumberFormat="1" applyBorder="1"/>
    <xf numFmtId="0" fontId="0" fillId="2" borderId="0" xfId="0" applyFill="1" applyAlignment="1">
      <alignment horizontal="left" vertical="center"/>
    </xf>
    <xf numFmtId="0" fontId="0" fillId="2" borderId="23" xfId="0" applyFill="1" applyBorder="1" applyAlignment="1">
      <alignment horizontal="center" vertical="center"/>
    </xf>
    <xf numFmtId="0" fontId="0" fillId="6" borderId="23" xfId="0" applyFill="1" applyBorder="1" applyAlignment="1">
      <alignment horizontal="center" vertical="center" wrapText="1"/>
    </xf>
    <xf numFmtId="0" fontId="0" fillId="26" borderId="23" xfId="0" applyFill="1" applyBorder="1" applyAlignment="1">
      <alignment horizontal="center" vertical="center" wrapText="1"/>
    </xf>
    <xf numFmtId="0" fontId="0" fillId="37" borderId="23" xfId="0" applyFill="1" applyBorder="1" applyAlignment="1">
      <alignment horizontal="center" vertical="center"/>
    </xf>
    <xf numFmtId="0" fontId="0" fillId="17" borderId="23" xfId="0" applyFill="1" applyBorder="1" applyAlignment="1">
      <alignment horizontal="center" vertical="center" wrapText="1"/>
    </xf>
    <xf numFmtId="0" fontId="0" fillId="38" borderId="23" xfId="0" applyFill="1" applyBorder="1" applyAlignment="1">
      <alignment horizontal="center" vertical="center"/>
    </xf>
    <xf numFmtId="0" fontId="15" fillId="46" borderId="23" xfId="0" applyFont="1" applyFill="1" applyBorder="1" applyAlignment="1">
      <alignment horizontal="center" vertical="center" wrapText="1"/>
    </xf>
    <xf numFmtId="0" fontId="0" fillId="42" borderId="5" xfId="0" applyFill="1" applyBorder="1" applyAlignment="1">
      <alignment horizontal="center" vertical="center" wrapText="1"/>
    </xf>
    <xf numFmtId="0" fontId="0" fillId="15" borderId="0" xfId="0" applyFill="1" applyAlignment="1">
      <alignment horizontal="center" vertical="center" wrapText="1"/>
    </xf>
    <xf numFmtId="0" fontId="0" fillId="2" borderId="23" xfId="0" applyFill="1" applyBorder="1" applyAlignment="1">
      <alignment horizontal="center" vertical="center" wrapText="1"/>
    </xf>
    <xf numFmtId="0" fontId="0" fillId="9" borderId="23" xfId="0" applyFill="1" applyBorder="1" applyAlignment="1">
      <alignment horizontal="center" vertical="center" wrapText="1"/>
    </xf>
    <xf numFmtId="0" fontId="0" fillId="23" borderId="23" xfId="0" applyFill="1" applyBorder="1" applyAlignment="1">
      <alignment horizontal="center" vertical="center" wrapText="1"/>
    </xf>
    <xf numFmtId="0" fontId="0" fillId="8" borderId="23" xfId="0" applyFill="1" applyBorder="1" applyAlignment="1">
      <alignment horizontal="center" vertical="center" wrapText="1"/>
    </xf>
    <xf numFmtId="0" fontId="0" fillId="34" borderId="23" xfId="0" applyFill="1" applyBorder="1" applyAlignment="1">
      <alignment horizontal="center" vertical="center" wrapText="1"/>
    </xf>
    <xf numFmtId="0" fontId="0" fillId="37" borderId="23" xfId="0" applyFill="1" applyBorder="1" applyAlignment="1">
      <alignment horizontal="center" vertical="center" wrapText="1"/>
    </xf>
    <xf numFmtId="16" fontId="0" fillId="22" borderId="23" xfId="0" quotePrefix="1" applyNumberFormat="1" applyFill="1" applyBorder="1" applyAlignment="1">
      <alignment horizontal="center" vertical="center" wrapText="1"/>
    </xf>
    <xf numFmtId="0" fontId="0" fillId="31" borderId="23" xfId="0" applyFill="1" applyBorder="1" applyAlignment="1">
      <alignment horizontal="center" vertical="center" wrapText="1"/>
    </xf>
    <xf numFmtId="0" fontId="0" fillId="35" borderId="23" xfId="0" applyFill="1" applyBorder="1" applyAlignment="1">
      <alignment horizontal="center" vertical="center" wrapText="1"/>
    </xf>
    <xf numFmtId="0" fontId="0" fillId="27" borderId="23" xfId="0" applyFill="1" applyBorder="1" applyAlignment="1">
      <alignment horizontal="center" vertical="center" wrapText="1"/>
    </xf>
    <xf numFmtId="0" fontId="0" fillId="33" borderId="23" xfId="0" applyFill="1" applyBorder="1" applyAlignment="1">
      <alignment horizontal="center" vertical="center" wrapText="1"/>
    </xf>
    <xf numFmtId="0" fontId="0" fillId="39" borderId="23" xfId="0" applyFill="1" applyBorder="1" applyAlignment="1">
      <alignment horizontal="center" vertical="center" wrapText="1"/>
    </xf>
    <xf numFmtId="0" fontId="0" fillId="32" borderId="23" xfId="0" applyFill="1" applyBorder="1" applyAlignment="1">
      <alignment horizontal="center" vertical="center" wrapText="1"/>
    </xf>
    <xf numFmtId="0" fontId="0" fillId="30" borderId="23" xfId="0" applyFill="1" applyBorder="1" applyAlignment="1">
      <alignment horizontal="center" vertical="center" wrapText="1"/>
    </xf>
    <xf numFmtId="0" fontId="0" fillId="13" borderId="23" xfId="0" applyFill="1" applyBorder="1" applyAlignment="1">
      <alignment horizontal="center" vertical="center" wrapText="1"/>
    </xf>
    <xf numFmtId="0" fontId="0" fillId="14" borderId="23" xfId="0" applyFill="1" applyBorder="1" applyAlignment="1">
      <alignment horizontal="center" vertical="center" wrapText="1"/>
    </xf>
    <xf numFmtId="0" fontId="0" fillId="36" borderId="23" xfId="0" applyFill="1" applyBorder="1" applyAlignment="1">
      <alignment horizontal="center" vertical="center" wrapText="1"/>
    </xf>
    <xf numFmtId="0" fontId="0" fillId="25" borderId="23" xfId="0" applyFill="1" applyBorder="1" applyAlignment="1">
      <alignment horizontal="center" vertical="center" wrapText="1"/>
    </xf>
    <xf numFmtId="0" fontId="0" fillId="28" borderId="23" xfId="0" applyFill="1" applyBorder="1" applyAlignment="1">
      <alignment horizontal="center" vertical="center" wrapText="1"/>
    </xf>
    <xf numFmtId="0" fontId="0" fillId="12" borderId="23" xfId="0" applyFill="1" applyBorder="1" applyAlignment="1">
      <alignment horizontal="center" vertical="center" wrapText="1"/>
    </xf>
    <xf numFmtId="0" fontId="0" fillId="41" borderId="23" xfId="0" applyFill="1" applyBorder="1" applyAlignment="1">
      <alignment horizontal="center" vertical="center" wrapText="1"/>
    </xf>
    <xf numFmtId="0" fontId="0" fillId="43" borderId="23" xfId="0" applyFill="1" applyBorder="1" applyAlignment="1">
      <alignment horizontal="center" vertical="center" wrapText="1"/>
    </xf>
    <xf numFmtId="0" fontId="0" fillId="24" borderId="23" xfId="0" applyFill="1" applyBorder="1" applyAlignment="1">
      <alignment horizontal="center" vertical="center" wrapText="1"/>
    </xf>
    <xf numFmtId="0" fontId="0" fillId="11" borderId="23" xfId="0" applyFill="1" applyBorder="1" applyAlignment="1">
      <alignment horizontal="center" vertical="center" wrapText="1"/>
    </xf>
    <xf numFmtId="0" fontId="0" fillId="38" borderId="23" xfId="0" applyFill="1" applyBorder="1" applyAlignment="1">
      <alignment horizontal="center" vertical="center" wrapText="1"/>
    </xf>
    <xf numFmtId="0" fontId="0" fillId="40" borderId="23" xfId="0" applyFill="1" applyBorder="1" applyAlignment="1">
      <alignment horizontal="center" vertical="center" wrapText="1"/>
    </xf>
    <xf numFmtId="0" fontId="0" fillId="29" borderId="23" xfId="0" applyFill="1" applyBorder="1" applyAlignment="1">
      <alignment horizontal="center" vertical="center" wrapText="1"/>
    </xf>
    <xf numFmtId="0" fontId="0" fillId="21" borderId="23" xfId="0" applyFill="1" applyBorder="1" applyAlignment="1">
      <alignment horizontal="center" vertical="center" wrapText="1"/>
    </xf>
    <xf numFmtId="0" fontId="0" fillId="20" borderId="23" xfId="0" applyFill="1" applyBorder="1" applyAlignment="1">
      <alignment horizontal="center" vertical="center" wrapText="1"/>
    </xf>
    <xf numFmtId="0" fontId="0" fillId="44" borderId="23" xfId="0" applyFill="1" applyBorder="1" applyAlignment="1">
      <alignment horizontal="center" vertical="center" wrapText="1"/>
    </xf>
    <xf numFmtId="0" fontId="0" fillId="42" borderId="60" xfId="0" applyFill="1" applyBorder="1" applyAlignment="1">
      <alignment horizontal="center" vertical="center" wrapText="1"/>
    </xf>
    <xf numFmtId="0" fontId="0" fillId="6" borderId="17" xfId="0" applyFill="1" applyBorder="1" applyAlignment="1">
      <alignment horizontal="center" vertical="center" wrapText="1"/>
    </xf>
    <xf numFmtId="0" fontId="0" fillId="9" borderId="54" xfId="0" applyFill="1" applyBorder="1" applyAlignment="1">
      <alignment horizontal="center" vertical="center" wrapText="1"/>
    </xf>
    <xf numFmtId="0" fontId="0" fillId="23" borderId="54" xfId="0" applyFill="1" applyBorder="1" applyAlignment="1">
      <alignment horizontal="center" vertical="center" wrapText="1"/>
    </xf>
    <xf numFmtId="0" fontId="0" fillId="8" borderId="54" xfId="0" applyFill="1" applyBorder="1" applyAlignment="1">
      <alignment horizontal="center" vertical="center" wrapText="1"/>
    </xf>
    <xf numFmtId="0" fontId="0" fillId="26" borderId="54" xfId="0" applyFill="1" applyBorder="1" applyAlignment="1">
      <alignment horizontal="center" vertical="center" wrapText="1"/>
    </xf>
    <xf numFmtId="0" fontId="0" fillId="34" borderId="20" xfId="0" applyFill="1" applyBorder="1" applyAlignment="1">
      <alignment horizontal="center" vertical="center" wrapText="1"/>
    </xf>
    <xf numFmtId="0" fontId="0" fillId="42" borderId="6" xfId="0" applyFill="1" applyBorder="1" applyAlignment="1">
      <alignment horizontal="center" vertical="center" wrapText="1"/>
    </xf>
    <xf numFmtId="0" fontId="9" fillId="6" borderId="50" xfId="0" applyFont="1" applyFill="1" applyBorder="1" applyAlignment="1">
      <alignment horizontal="center" vertical="center" wrapText="1"/>
    </xf>
    <xf numFmtId="0" fontId="9" fillId="9" borderId="51" xfId="0" applyFont="1" applyFill="1" applyBorder="1" applyAlignment="1">
      <alignment horizontal="center" vertical="center" wrapText="1"/>
    </xf>
    <xf numFmtId="0" fontId="9" fillId="23" borderId="51" xfId="0" applyFont="1" applyFill="1" applyBorder="1" applyAlignment="1">
      <alignment horizontal="center" vertical="center" wrapText="1"/>
    </xf>
    <xf numFmtId="0" fontId="0" fillId="8" borderId="51" xfId="0" applyFill="1" applyBorder="1" applyAlignment="1">
      <alignment horizontal="center" vertical="center" wrapText="1"/>
    </xf>
    <xf numFmtId="0" fontId="0" fillId="26" borderId="51" xfId="0" applyFill="1" applyBorder="1" applyAlignment="1">
      <alignment horizontal="center" vertical="center" wrapText="1"/>
    </xf>
    <xf numFmtId="0" fontId="0" fillId="34" borderId="52" xfId="0" applyFill="1" applyBorder="1" applyAlignment="1">
      <alignment horizontal="center" vertical="center" wrapText="1"/>
    </xf>
    <xf numFmtId="0" fontId="0" fillId="48" borderId="23" xfId="0" applyFill="1" applyBorder="1" applyAlignment="1">
      <alignment horizontal="center" vertical="center" wrapText="1"/>
    </xf>
    <xf numFmtId="0" fontId="0" fillId="49" borderId="23" xfId="0" applyFill="1" applyBorder="1" applyAlignment="1">
      <alignment horizontal="center" vertical="center" wrapText="1"/>
    </xf>
    <xf numFmtId="0" fontId="0" fillId="47" borderId="23" xfId="0" applyFill="1" applyBorder="1" applyAlignment="1">
      <alignment horizontal="center" vertical="center" wrapText="1"/>
    </xf>
    <xf numFmtId="0" fontId="0" fillId="50" borderId="23" xfId="0" applyFill="1" applyBorder="1" applyAlignment="1">
      <alignment horizontal="center" vertical="center" wrapText="1"/>
    </xf>
    <xf numFmtId="0" fontId="0" fillId="51" borderId="23" xfId="0" applyFill="1" applyBorder="1" applyAlignment="1">
      <alignment horizontal="center" vertical="center" wrapText="1"/>
    </xf>
    <xf numFmtId="0" fontId="0" fillId="52" borderId="23" xfId="0" applyFill="1" applyBorder="1" applyAlignment="1">
      <alignment horizontal="center" vertical="center" wrapText="1"/>
    </xf>
    <xf numFmtId="0" fontId="0" fillId="53" borderId="23" xfId="0" applyFill="1" applyBorder="1" applyAlignment="1">
      <alignment horizontal="center" vertical="center" wrapText="1"/>
    </xf>
    <xf numFmtId="0" fontId="1" fillId="0" borderId="75" xfId="0" applyFont="1" applyBorder="1" applyAlignment="1">
      <alignment horizontal="center" vertical="center" wrapText="1"/>
    </xf>
    <xf numFmtId="0" fontId="9" fillId="34" borderId="23" xfId="0" applyFont="1" applyFill="1" applyBorder="1" applyAlignment="1">
      <alignment horizontal="center" vertical="center" wrapText="1"/>
    </xf>
    <xf numFmtId="0" fontId="0" fillId="42" borderId="57" xfId="0" applyFill="1" applyBorder="1" applyAlignment="1">
      <alignment horizontal="center" vertical="center" wrapText="1"/>
    </xf>
    <xf numFmtId="0" fontId="9" fillId="6" borderId="56" xfId="0" applyFont="1" applyFill="1" applyBorder="1" applyAlignment="1">
      <alignment horizontal="center" vertical="center" wrapText="1"/>
    </xf>
    <xf numFmtId="0" fontId="9" fillId="9" borderId="55" xfId="0" applyFont="1" applyFill="1" applyBorder="1" applyAlignment="1">
      <alignment horizontal="center" vertical="center" wrapText="1"/>
    </xf>
    <xf numFmtId="0" fontId="9" fillId="23" borderId="55" xfId="0" applyFont="1" applyFill="1" applyBorder="1" applyAlignment="1">
      <alignment horizontal="center" vertical="center" wrapText="1"/>
    </xf>
    <xf numFmtId="0" fontId="9" fillId="8" borderId="55" xfId="0" applyFont="1" applyFill="1" applyBorder="1" applyAlignment="1">
      <alignment horizontal="center" vertical="center" wrapText="1"/>
    </xf>
    <xf numFmtId="0" fontId="9" fillId="26" borderId="55" xfId="0" applyFont="1" applyFill="1" applyBorder="1" applyAlignment="1">
      <alignment horizontal="center" vertical="center" wrapText="1"/>
    </xf>
    <xf numFmtId="0" fontId="9" fillId="34" borderId="62" xfId="0" applyFont="1" applyFill="1" applyBorder="1" applyAlignment="1">
      <alignment horizontal="center" vertical="center" wrapText="1"/>
    </xf>
    <xf numFmtId="0" fontId="0" fillId="15" borderId="23" xfId="0" applyFill="1" applyBorder="1" applyAlignment="1">
      <alignment horizontal="center" vertical="center" wrapText="1"/>
    </xf>
    <xf numFmtId="9" fontId="0" fillId="0" borderId="23" xfId="0" applyNumberFormat="1" applyBorder="1"/>
    <xf numFmtId="0" fontId="0" fillId="54" borderId="23" xfId="0" applyFill="1" applyBorder="1" applyAlignment="1">
      <alignment horizontal="center" vertical="center"/>
    </xf>
    <xf numFmtId="0" fontId="0" fillId="54" borderId="23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6" fillId="45" borderId="5" xfId="0" applyFont="1" applyFill="1" applyBorder="1" applyAlignment="1">
      <alignment horizontal="center"/>
    </xf>
    <xf numFmtId="0" fontId="6" fillId="45" borderId="6" xfId="0" applyFont="1" applyFill="1" applyBorder="1" applyAlignment="1">
      <alignment horizontal="center"/>
    </xf>
    <xf numFmtId="0" fontId="6" fillId="45" borderId="7" xfId="0" applyFont="1" applyFill="1" applyBorder="1" applyAlignment="1">
      <alignment horizont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0" fillId="0" borderId="9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1" fillId="24" borderId="18" xfId="0" applyFont="1" applyFill="1" applyBorder="1" applyAlignment="1">
      <alignment horizontal="center" vertical="center"/>
    </xf>
    <xf numFmtId="0" fontId="1" fillId="24" borderId="19" xfId="0" applyFont="1" applyFill="1" applyBorder="1" applyAlignment="1">
      <alignment horizontal="center" vertical="center"/>
    </xf>
    <xf numFmtId="0" fontId="1" fillId="24" borderId="29" xfId="0" applyFont="1" applyFill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9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32" xfId="0" applyFont="1" applyBorder="1" applyAlignment="1">
      <alignment horizontal="center" vertical="center" wrapText="1"/>
    </xf>
    <xf numFmtId="0" fontId="1" fillId="0" borderId="33" xfId="0" applyFont="1" applyBorder="1" applyAlignment="1">
      <alignment horizontal="center" vertical="center" wrapText="1"/>
    </xf>
    <xf numFmtId="0" fontId="1" fillId="0" borderId="34" xfId="0" applyFont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/>
    </xf>
    <xf numFmtId="0" fontId="1" fillId="0" borderId="36" xfId="0" applyFont="1" applyBorder="1" applyAlignment="1">
      <alignment horizontal="center" vertical="center"/>
    </xf>
    <xf numFmtId="0" fontId="1" fillId="0" borderId="38" xfId="0" applyFont="1" applyBorder="1" applyAlignment="1">
      <alignment horizontal="center" vertical="center"/>
    </xf>
    <xf numFmtId="0" fontId="1" fillId="0" borderId="32" xfId="0" applyFont="1" applyBorder="1" applyAlignment="1">
      <alignment horizontal="center" vertical="center"/>
    </xf>
    <xf numFmtId="0" fontId="1" fillId="0" borderId="33" xfId="0" applyFont="1" applyBorder="1" applyAlignment="1">
      <alignment horizontal="center" vertical="center"/>
    </xf>
    <xf numFmtId="0" fontId="1" fillId="0" borderId="34" xfId="0" applyFont="1" applyBorder="1" applyAlignment="1">
      <alignment horizontal="center" vertical="center"/>
    </xf>
    <xf numFmtId="0" fontId="1" fillId="0" borderId="35" xfId="0" applyFont="1" applyBorder="1" applyAlignment="1">
      <alignment horizontal="center" vertical="center" wrapText="1"/>
    </xf>
    <xf numFmtId="0" fontId="1" fillId="0" borderId="36" xfId="0" applyFont="1" applyBorder="1" applyAlignment="1">
      <alignment horizontal="center" vertical="center" wrapText="1"/>
    </xf>
    <xf numFmtId="0" fontId="1" fillId="0" borderId="38" xfId="0" applyFont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10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1" fillId="0" borderId="10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14" xfId="0" applyFont="1" applyBorder="1" applyAlignment="1">
      <alignment horizontal="center" vertical="center" wrapText="1"/>
    </xf>
    <xf numFmtId="0" fontId="1" fillId="2" borderId="2" xfId="0" applyFont="1" applyFill="1" applyBorder="1" applyAlignment="1">
      <alignment horizontal="left" vertical="center" wrapText="1"/>
    </xf>
    <xf numFmtId="0" fontId="1" fillId="2" borderId="3" xfId="0" applyFont="1" applyFill="1" applyBorder="1" applyAlignment="1">
      <alignment horizontal="left" vertical="center" wrapText="1"/>
    </xf>
    <xf numFmtId="0" fontId="1" fillId="2" borderId="15" xfId="0" applyFont="1" applyFill="1" applyBorder="1" applyAlignment="1">
      <alignment horizontal="left" vertical="center" wrapText="1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15" xfId="0" applyFont="1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3" borderId="9" xfId="0" applyFont="1" applyFill="1" applyBorder="1" applyAlignment="1">
      <alignment horizontal="left" vertical="center"/>
    </xf>
    <xf numFmtId="0" fontId="1" fillId="3" borderId="11" xfId="0" applyFont="1" applyFill="1" applyBorder="1" applyAlignment="1">
      <alignment horizontal="left" vertical="center"/>
    </xf>
    <xf numFmtId="0" fontId="1" fillId="3" borderId="12" xfId="0" applyFont="1" applyFill="1" applyBorder="1" applyAlignment="1">
      <alignment horizontal="left" vertical="center"/>
    </xf>
    <xf numFmtId="0" fontId="1" fillId="2" borderId="9" xfId="0" applyFont="1" applyFill="1" applyBorder="1" applyAlignment="1">
      <alignment horizontal="left" vertical="center" wrapText="1"/>
    </xf>
    <xf numFmtId="0" fontId="1" fillId="2" borderId="11" xfId="0" applyFont="1" applyFill="1" applyBorder="1" applyAlignment="1">
      <alignment horizontal="left" vertical="center" wrapText="1"/>
    </xf>
    <xf numFmtId="0" fontId="1" fillId="2" borderId="12" xfId="0" applyFont="1" applyFill="1" applyBorder="1" applyAlignment="1">
      <alignment horizontal="left" vertical="center" wrapText="1"/>
    </xf>
    <xf numFmtId="0" fontId="1" fillId="0" borderId="16" xfId="0" applyFont="1" applyBorder="1" applyAlignment="1">
      <alignment horizontal="left" vertical="center"/>
    </xf>
    <xf numFmtId="0" fontId="1" fillId="0" borderId="17" xfId="0" applyFont="1" applyBorder="1" applyAlignment="1">
      <alignment horizontal="left" vertical="center"/>
    </xf>
    <xf numFmtId="0" fontId="1" fillId="0" borderId="16" xfId="0" applyFont="1" applyBorder="1" applyAlignment="1">
      <alignment horizontal="left" vertical="center" wrapText="1"/>
    </xf>
    <xf numFmtId="0" fontId="1" fillId="0" borderId="1" xfId="0" applyFont="1" applyBorder="1" applyAlignment="1">
      <alignment horizontal="left" vertical="center" wrapText="1"/>
    </xf>
    <xf numFmtId="0" fontId="1" fillId="0" borderId="17" xfId="0" applyFont="1" applyBorder="1" applyAlignment="1">
      <alignment horizontal="left" vertical="center" wrapText="1"/>
    </xf>
    <xf numFmtId="0" fontId="6" fillId="0" borderId="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7" fillId="0" borderId="14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0" fillId="0" borderId="32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4" xfId="0" applyBorder="1" applyAlignment="1">
      <alignment horizontal="center"/>
    </xf>
    <xf numFmtId="0" fontId="1" fillId="0" borderId="2" xfId="0" applyFont="1" applyBorder="1" applyAlignment="1">
      <alignment horizontal="left" vertical="center" wrapText="1"/>
    </xf>
    <xf numFmtId="0" fontId="1" fillId="0" borderId="15" xfId="0" applyFont="1" applyBorder="1" applyAlignment="1">
      <alignment horizontal="left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39" xfId="0" applyFont="1" applyBorder="1" applyAlignment="1">
      <alignment horizontal="center" vertical="center" wrapText="1"/>
    </xf>
    <xf numFmtId="0" fontId="1" fillId="2" borderId="9" xfId="0" applyFont="1" applyFill="1" applyBorder="1" applyAlignment="1">
      <alignment horizontal="left" vertical="center"/>
    </xf>
    <xf numFmtId="0" fontId="1" fillId="2" borderId="12" xfId="0" applyFont="1" applyFill="1" applyBorder="1" applyAlignment="1">
      <alignment horizontal="left" vertical="center"/>
    </xf>
    <xf numFmtId="0" fontId="1" fillId="2" borderId="11" xfId="0" applyFont="1" applyFill="1" applyBorder="1" applyAlignment="1">
      <alignment horizontal="left" vertical="center"/>
    </xf>
    <xf numFmtId="0" fontId="1" fillId="2" borderId="2" xfId="0" applyFont="1" applyFill="1" applyBorder="1" applyAlignment="1">
      <alignment horizontal="left" vertical="center"/>
    </xf>
    <xf numFmtId="0" fontId="1" fillId="2" borderId="3" xfId="0" applyFont="1" applyFill="1" applyBorder="1" applyAlignment="1">
      <alignment horizontal="left" vertical="center"/>
    </xf>
    <xf numFmtId="0" fontId="1" fillId="2" borderId="15" xfId="0" applyFont="1" applyFill="1" applyBorder="1" applyAlignment="1">
      <alignment horizontal="left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15" xfId="0" applyFont="1" applyFill="1" applyBorder="1" applyAlignment="1">
      <alignment horizontal="center" vertical="center"/>
    </xf>
    <xf numFmtId="0" fontId="1" fillId="35" borderId="2" xfId="0" applyFont="1" applyFill="1" applyBorder="1" applyAlignment="1">
      <alignment horizontal="center" vertical="center"/>
    </xf>
    <xf numFmtId="0" fontId="1" fillId="35" borderId="3" xfId="0" applyFont="1" applyFill="1" applyBorder="1" applyAlignment="1">
      <alignment horizontal="center" vertical="center"/>
    </xf>
    <xf numFmtId="0" fontId="1" fillId="35" borderId="15" xfId="0" applyFont="1" applyFill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0" fontId="1" fillId="2" borderId="9" xfId="0" applyFont="1" applyFill="1" applyBorder="1" applyAlignment="1">
      <alignment horizontal="center" vertical="center"/>
    </xf>
    <xf numFmtId="0" fontId="1" fillId="2" borderId="12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6" borderId="11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0" fillId="9" borderId="11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31" borderId="3" xfId="0" applyFill="1" applyBorder="1" applyAlignment="1">
      <alignment horizontal="center" vertical="center"/>
    </xf>
    <xf numFmtId="0" fontId="0" fillId="33" borderId="3" xfId="0" applyFill="1" applyBorder="1" applyAlignment="1">
      <alignment horizontal="center" vertical="center"/>
    </xf>
    <xf numFmtId="0" fontId="0" fillId="22" borderId="3" xfId="0" applyFill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" fillId="0" borderId="2" xfId="0" applyFont="1" applyBorder="1" applyAlignment="1">
      <alignment horizontal="left" vertical="center"/>
    </xf>
    <xf numFmtId="0" fontId="1" fillId="0" borderId="3" xfId="0" applyFont="1" applyBorder="1" applyAlignment="1">
      <alignment horizontal="left" vertical="center"/>
    </xf>
    <xf numFmtId="0" fontId="1" fillId="0" borderId="15" xfId="0" applyFont="1" applyBorder="1" applyAlignment="1">
      <alignment horizontal="left" vertical="center"/>
    </xf>
    <xf numFmtId="0" fontId="0" fillId="13" borderId="3" xfId="0" applyFill="1" applyBorder="1" applyAlignment="1">
      <alignment horizontal="center" vertical="center"/>
    </xf>
    <xf numFmtId="0" fontId="0" fillId="13" borderId="15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0" fillId="22" borderId="11" xfId="0" applyFill="1" applyBorder="1" applyAlignment="1">
      <alignment horizontal="center" vertical="center"/>
    </xf>
    <xf numFmtId="0" fontId="0" fillId="31" borderId="11" xfId="0" applyFill="1" applyBorder="1" applyAlignment="1">
      <alignment horizontal="center" vertical="center"/>
    </xf>
    <xf numFmtId="0" fontId="1" fillId="0" borderId="29" xfId="0" applyFont="1" applyBorder="1" applyAlignment="1">
      <alignment horizontal="center" vertical="center"/>
    </xf>
    <xf numFmtId="0" fontId="1" fillId="0" borderId="30" xfId="0" applyFont="1" applyBorder="1" applyAlignment="1">
      <alignment horizontal="center" vertical="center"/>
    </xf>
    <xf numFmtId="0" fontId="1" fillId="0" borderId="31" xfId="0" applyFont="1" applyBorder="1" applyAlignment="1">
      <alignment horizontal="center" vertical="center"/>
    </xf>
    <xf numFmtId="0" fontId="1" fillId="0" borderId="22" xfId="0" applyFont="1" applyBorder="1" applyAlignment="1">
      <alignment horizontal="center" vertical="center"/>
    </xf>
    <xf numFmtId="0" fontId="1" fillId="0" borderId="3" xfId="0" applyFont="1" applyBorder="1" applyAlignment="1">
      <alignment horizontal="left" vertical="center" wrapText="1"/>
    </xf>
    <xf numFmtId="0" fontId="1" fillId="0" borderId="44" xfId="0" applyFont="1" applyBorder="1" applyAlignment="1">
      <alignment horizontal="center" vertical="center" wrapText="1"/>
    </xf>
    <xf numFmtId="0" fontId="1" fillId="0" borderId="45" xfId="0" applyFont="1" applyBorder="1" applyAlignment="1">
      <alignment horizontal="center" vertical="center" wrapText="1"/>
    </xf>
    <xf numFmtId="0" fontId="1" fillId="0" borderId="46" xfId="0" applyFont="1" applyBorder="1" applyAlignment="1">
      <alignment horizontal="center" vertical="center" wrapText="1"/>
    </xf>
    <xf numFmtId="0" fontId="1" fillId="0" borderId="47" xfId="0" applyFont="1" applyBorder="1" applyAlignment="1">
      <alignment horizontal="center" vertical="center" wrapText="1"/>
    </xf>
    <xf numFmtId="0" fontId="0" fillId="0" borderId="19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5" borderId="3" xfId="0" applyFill="1" applyBorder="1" applyAlignment="1">
      <alignment horizontal="center" vertical="center"/>
    </xf>
    <xf numFmtId="0" fontId="0" fillId="5" borderId="15" xfId="0" applyFill="1" applyBorder="1" applyAlignment="1">
      <alignment horizontal="center" vertical="center"/>
    </xf>
    <xf numFmtId="0" fontId="1" fillId="0" borderId="9" xfId="0" applyFont="1" applyBorder="1" applyAlignment="1">
      <alignment horizontal="left" vertical="center"/>
    </xf>
    <xf numFmtId="0" fontId="1" fillId="0" borderId="11" xfId="0" applyFont="1" applyBorder="1" applyAlignment="1">
      <alignment horizontal="left" vertical="center"/>
    </xf>
    <xf numFmtId="0" fontId="1" fillId="0" borderId="12" xfId="0" applyFont="1" applyBorder="1" applyAlignment="1">
      <alignment horizontal="left" vertical="center"/>
    </xf>
    <xf numFmtId="0" fontId="0" fillId="6" borderId="9" xfId="0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1" fillId="0" borderId="9" xfId="0" applyFont="1" applyBorder="1" applyAlignment="1">
      <alignment horizontal="left" vertical="center" wrapText="1"/>
    </xf>
    <xf numFmtId="0" fontId="1" fillId="0" borderId="11" xfId="0" applyFont="1" applyBorder="1" applyAlignment="1">
      <alignment horizontal="left" vertical="center" wrapText="1"/>
    </xf>
    <xf numFmtId="0" fontId="0" fillId="39" borderId="37" xfId="0" applyFill="1" applyBorder="1" applyAlignment="1">
      <alignment horizontal="center" vertical="center"/>
    </xf>
    <xf numFmtId="0" fontId="0" fillId="39" borderId="3" xfId="0" applyFill="1" applyBorder="1" applyAlignment="1">
      <alignment horizontal="center" vertical="center"/>
    </xf>
    <xf numFmtId="0" fontId="5" fillId="31" borderId="3" xfId="0" applyFont="1" applyFill="1" applyBorder="1" applyAlignment="1">
      <alignment horizontal="center" vertical="center"/>
    </xf>
    <xf numFmtId="0" fontId="1" fillId="0" borderId="40" xfId="0" applyFont="1" applyBorder="1" applyAlignment="1">
      <alignment horizontal="center" vertical="center"/>
    </xf>
    <xf numFmtId="0" fontId="1" fillId="0" borderId="41" xfId="0" applyFont="1" applyBorder="1" applyAlignment="1">
      <alignment horizontal="center" vertical="center"/>
    </xf>
    <xf numFmtId="0" fontId="1" fillId="0" borderId="43" xfId="0" applyFont="1" applyBorder="1" applyAlignment="1">
      <alignment horizontal="center" vertical="center"/>
    </xf>
    <xf numFmtId="0" fontId="0" fillId="31" borderId="0" xfId="0" applyFill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0" fillId="0" borderId="10" xfId="0" applyBorder="1" applyAlignment="1">
      <alignment horizontal="center" vertical="center" wrapText="1"/>
    </xf>
    <xf numFmtId="0" fontId="1" fillId="0" borderId="42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37" xfId="0" applyFont="1" applyBorder="1" applyAlignment="1">
      <alignment horizontal="center" vertical="center"/>
    </xf>
    <xf numFmtId="0" fontId="0" fillId="14" borderId="3" xfId="0" applyFill="1" applyBorder="1" applyAlignment="1">
      <alignment horizontal="center" vertical="center"/>
    </xf>
    <xf numFmtId="0" fontId="0" fillId="10" borderId="3" xfId="0" applyFill="1" applyBorder="1" applyAlignment="1">
      <alignment horizontal="center" vertical="center"/>
    </xf>
    <xf numFmtId="0" fontId="0" fillId="11" borderId="3" xfId="0" applyFill="1" applyBorder="1" applyAlignment="1">
      <alignment horizontal="center" vertical="center"/>
    </xf>
    <xf numFmtId="0" fontId="0" fillId="8" borderId="3" xfId="0" applyFill="1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8" borderId="4" xfId="0" applyFill="1" applyBorder="1" applyAlignment="1">
      <alignment horizontal="center" vertical="center"/>
    </xf>
    <xf numFmtId="0" fontId="0" fillId="31" borderId="4" xfId="0" applyFill="1" applyBorder="1" applyAlignment="1">
      <alignment horizontal="center" vertical="center"/>
    </xf>
    <xf numFmtId="0" fontId="0" fillId="34" borderId="3" xfId="0" applyFill="1" applyBorder="1" applyAlignment="1">
      <alignment horizontal="center" vertical="center"/>
    </xf>
    <xf numFmtId="0" fontId="0" fillId="25" borderId="3" xfId="0" applyFill="1" applyBorder="1" applyAlignment="1">
      <alignment horizontal="center" vertical="center"/>
    </xf>
    <xf numFmtId="0" fontId="1" fillId="0" borderId="49" xfId="0" applyFont="1" applyBorder="1" applyAlignment="1">
      <alignment horizontal="center" vertical="center"/>
    </xf>
    <xf numFmtId="0" fontId="1" fillId="0" borderId="50" xfId="0" applyFont="1" applyBorder="1" applyAlignment="1">
      <alignment horizontal="center" vertical="center"/>
    </xf>
    <xf numFmtId="0" fontId="1" fillId="0" borderId="51" xfId="0" applyFont="1" applyBorder="1" applyAlignment="1">
      <alignment horizontal="center" vertical="center"/>
    </xf>
    <xf numFmtId="0" fontId="1" fillId="0" borderId="52" xfId="0" applyFont="1" applyBorder="1" applyAlignment="1">
      <alignment horizontal="center" vertical="center"/>
    </xf>
    <xf numFmtId="0" fontId="1" fillId="0" borderId="53" xfId="0" applyFont="1" applyBorder="1" applyAlignment="1">
      <alignment horizontal="center" vertical="center"/>
    </xf>
    <xf numFmtId="0" fontId="1" fillId="0" borderId="39" xfId="0" applyFont="1" applyBorder="1" applyAlignment="1">
      <alignment horizontal="center" vertical="center"/>
    </xf>
    <xf numFmtId="0" fontId="1" fillId="0" borderId="48" xfId="0" applyFont="1" applyBorder="1" applyAlignment="1">
      <alignment horizontal="center" vertical="center"/>
    </xf>
    <xf numFmtId="0" fontId="1" fillId="0" borderId="25" xfId="0" applyFont="1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0" fillId="27" borderId="3" xfId="0" applyFill="1" applyBorder="1" applyAlignment="1">
      <alignment horizontal="center" vertical="center"/>
    </xf>
    <xf numFmtId="0" fontId="0" fillId="36" borderId="3" xfId="0" applyFill="1" applyBorder="1" applyAlignment="1">
      <alignment horizontal="center" vertical="center"/>
    </xf>
    <xf numFmtId="0" fontId="0" fillId="17" borderId="3" xfId="0" applyFill="1" applyBorder="1" applyAlignment="1">
      <alignment horizontal="center" vertical="center"/>
    </xf>
    <xf numFmtId="0" fontId="0" fillId="0" borderId="40" xfId="0" applyBorder="1" applyAlignment="1">
      <alignment horizontal="center"/>
    </xf>
    <xf numFmtId="0" fontId="0" fillId="0" borderId="41" xfId="0" applyBorder="1" applyAlignment="1">
      <alignment horizontal="center"/>
    </xf>
    <xf numFmtId="0" fontId="0" fillId="0" borderId="42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30" borderId="3" xfId="0" applyFill="1" applyBorder="1" applyAlignment="1">
      <alignment horizontal="center" vertical="center"/>
    </xf>
    <xf numFmtId="0" fontId="0" fillId="22" borderId="37" xfId="0" applyFill="1" applyBorder="1" applyAlignment="1">
      <alignment horizontal="center" vertical="center"/>
    </xf>
    <xf numFmtId="0" fontId="10" fillId="15" borderId="3" xfId="0" applyFont="1" applyFill="1" applyBorder="1" applyAlignment="1">
      <alignment horizontal="center" vertical="center"/>
    </xf>
    <xf numFmtId="0" fontId="10" fillId="15" borderId="15" xfId="0" applyFont="1" applyFill="1" applyBorder="1" applyAlignment="1">
      <alignment horizontal="center" vertical="center"/>
    </xf>
    <xf numFmtId="0" fontId="1" fillId="0" borderId="49" xfId="0" applyFont="1" applyBorder="1" applyAlignment="1">
      <alignment horizontal="center" vertical="center" wrapText="1"/>
    </xf>
    <xf numFmtId="0" fontId="1" fillId="0" borderId="52" xfId="0" applyFont="1" applyBorder="1" applyAlignment="1">
      <alignment horizontal="center" vertical="center" wrapText="1"/>
    </xf>
    <xf numFmtId="0" fontId="1" fillId="0" borderId="53" xfId="0" applyFont="1" applyBorder="1" applyAlignment="1">
      <alignment horizontal="center" vertical="center" wrapText="1"/>
    </xf>
    <xf numFmtId="0" fontId="0" fillId="43" borderId="3" xfId="0" applyFill="1" applyBorder="1" applyAlignment="1">
      <alignment horizontal="center" vertical="center"/>
    </xf>
    <xf numFmtId="0" fontId="0" fillId="12" borderId="3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800080"/>
      <color rgb="FFCC0099"/>
      <color rgb="FFFF33CC"/>
      <color rgb="FFFF66CC"/>
      <color rgb="FFFF99CC"/>
      <color rgb="FFFFCCCC"/>
      <color rgb="FFFFFFCC"/>
      <color rgb="FFFF99FF"/>
      <color rgb="FFFF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haredStrings" Target="sharedString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theme" Target="theme/theme1.xml"/><Relationship Id="rId40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ustomXml" Target="../customXml/item3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26" Type="http://schemas.openxmlformats.org/officeDocument/2006/relationships/image" Target="../media/image29.emf"/><Relationship Id="rId3" Type="http://schemas.openxmlformats.org/officeDocument/2006/relationships/image" Target="../media/image6.emf"/><Relationship Id="rId21" Type="http://schemas.openxmlformats.org/officeDocument/2006/relationships/image" Target="../media/image24.emf"/><Relationship Id="rId7" Type="http://schemas.openxmlformats.org/officeDocument/2006/relationships/image" Target="../media/image10.emf"/><Relationship Id="rId12" Type="http://schemas.openxmlformats.org/officeDocument/2006/relationships/image" Target="../media/image15.emf"/><Relationship Id="rId17" Type="http://schemas.openxmlformats.org/officeDocument/2006/relationships/image" Target="../media/image20.emf"/><Relationship Id="rId25" Type="http://schemas.openxmlformats.org/officeDocument/2006/relationships/image" Target="../media/image28.emf"/><Relationship Id="rId2" Type="http://schemas.openxmlformats.org/officeDocument/2006/relationships/image" Target="../media/image5.emf"/><Relationship Id="rId16" Type="http://schemas.openxmlformats.org/officeDocument/2006/relationships/image" Target="../media/image19.emf"/><Relationship Id="rId20" Type="http://schemas.openxmlformats.org/officeDocument/2006/relationships/image" Target="../media/image23.emf"/><Relationship Id="rId1" Type="http://schemas.openxmlformats.org/officeDocument/2006/relationships/image" Target="../media/image4.emf"/><Relationship Id="rId6" Type="http://schemas.openxmlformats.org/officeDocument/2006/relationships/image" Target="../media/image9.emf"/><Relationship Id="rId11" Type="http://schemas.openxmlformats.org/officeDocument/2006/relationships/image" Target="../media/image14.emf"/><Relationship Id="rId24" Type="http://schemas.openxmlformats.org/officeDocument/2006/relationships/image" Target="../media/image27.emf"/><Relationship Id="rId5" Type="http://schemas.openxmlformats.org/officeDocument/2006/relationships/image" Target="../media/image8.emf"/><Relationship Id="rId15" Type="http://schemas.openxmlformats.org/officeDocument/2006/relationships/image" Target="../media/image18.emf"/><Relationship Id="rId23" Type="http://schemas.openxmlformats.org/officeDocument/2006/relationships/image" Target="../media/image26.emf"/><Relationship Id="rId28" Type="http://schemas.openxmlformats.org/officeDocument/2006/relationships/image" Target="../media/image31.emf"/><Relationship Id="rId10" Type="http://schemas.openxmlformats.org/officeDocument/2006/relationships/image" Target="../media/image13.emf"/><Relationship Id="rId19" Type="http://schemas.openxmlformats.org/officeDocument/2006/relationships/image" Target="../media/image22.emf"/><Relationship Id="rId4" Type="http://schemas.openxmlformats.org/officeDocument/2006/relationships/image" Target="../media/image7.emf"/><Relationship Id="rId9" Type="http://schemas.openxmlformats.org/officeDocument/2006/relationships/image" Target="../media/image12.emf"/><Relationship Id="rId14" Type="http://schemas.openxmlformats.org/officeDocument/2006/relationships/image" Target="../media/image17.emf"/><Relationship Id="rId22" Type="http://schemas.openxmlformats.org/officeDocument/2006/relationships/image" Target="../media/image25.emf"/><Relationship Id="rId27" Type="http://schemas.openxmlformats.org/officeDocument/2006/relationships/image" Target="../media/image30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emf"/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emf"/><Relationship Id="rId13" Type="http://schemas.openxmlformats.org/officeDocument/2006/relationships/image" Target="../media/image27.emf"/><Relationship Id="rId3" Type="http://schemas.openxmlformats.org/officeDocument/2006/relationships/image" Target="../media/image17.emf"/><Relationship Id="rId7" Type="http://schemas.openxmlformats.org/officeDocument/2006/relationships/image" Target="../media/image21.emf"/><Relationship Id="rId12" Type="http://schemas.openxmlformats.org/officeDocument/2006/relationships/image" Target="../media/image26.emf"/><Relationship Id="rId17" Type="http://schemas.openxmlformats.org/officeDocument/2006/relationships/image" Target="../media/image31.emf"/><Relationship Id="rId2" Type="http://schemas.openxmlformats.org/officeDocument/2006/relationships/image" Target="../media/image16.emf"/><Relationship Id="rId16" Type="http://schemas.openxmlformats.org/officeDocument/2006/relationships/image" Target="../media/image30.emf"/><Relationship Id="rId1" Type="http://schemas.openxmlformats.org/officeDocument/2006/relationships/image" Target="../media/image15.emf"/><Relationship Id="rId6" Type="http://schemas.openxmlformats.org/officeDocument/2006/relationships/image" Target="../media/image20.emf"/><Relationship Id="rId11" Type="http://schemas.openxmlformats.org/officeDocument/2006/relationships/image" Target="../media/image25.emf"/><Relationship Id="rId5" Type="http://schemas.openxmlformats.org/officeDocument/2006/relationships/image" Target="../media/image19.emf"/><Relationship Id="rId15" Type="http://schemas.openxmlformats.org/officeDocument/2006/relationships/image" Target="../media/image29.emf"/><Relationship Id="rId10" Type="http://schemas.openxmlformats.org/officeDocument/2006/relationships/image" Target="../media/image24.emf"/><Relationship Id="rId4" Type="http://schemas.openxmlformats.org/officeDocument/2006/relationships/image" Target="../media/image18.emf"/><Relationship Id="rId9" Type="http://schemas.openxmlformats.org/officeDocument/2006/relationships/image" Target="../media/image23.emf"/><Relationship Id="rId14" Type="http://schemas.openxmlformats.org/officeDocument/2006/relationships/image" Target="../media/image28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em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333375</xdr:colOff>
      <xdr:row>5</xdr:row>
      <xdr:rowOff>114300</xdr:rowOff>
    </xdr:from>
    <xdr:to>
      <xdr:col>8</xdr:col>
      <xdr:colOff>314325</xdr:colOff>
      <xdr:row>23</xdr:row>
      <xdr:rowOff>77019</xdr:rowOff>
    </xdr:to>
    <xdr:pic>
      <xdr:nvPicPr>
        <xdr:cNvPr id="35" name="Imag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8475" y="1247775"/>
          <a:ext cx="3800475" cy="3439344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295275</xdr:colOff>
      <xdr:row>5</xdr:row>
      <xdr:rowOff>142876</xdr:rowOff>
    </xdr:from>
    <xdr:to>
      <xdr:col>3</xdr:col>
      <xdr:colOff>1800225</xdr:colOff>
      <xdr:row>23</xdr:row>
      <xdr:rowOff>47625</xdr:rowOff>
    </xdr:to>
    <xdr:grpSp>
      <xdr:nvGrpSpPr>
        <xdr:cNvPr id="42" name="Group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GrpSpPr/>
      </xdr:nvGrpSpPr>
      <xdr:grpSpPr>
        <a:xfrm>
          <a:off x="295275" y="1272429"/>
          <a:ext cx="6067985" cy="3212725"/>
          <a:chOff x="1128713" y="962025"/>
          <a:chExt cx="7932909" cy="3939489"/>
        </a:xfrm>
      </xdr:grpSpPr>
      <xdr:pic>
        <xdr:nvPicPr>
          <xdr:cNvPr id="43" name="Image 42">
            <a:extLst>
              <a:ext uri="{FF2B5EF4-FFF2-40B4-BE49-F238E27FC236}">
                <a16:creationId xmlns:a16="http://schemas.microsoft.com/office/drawing/2014/main" id="{00000000-0008-0000-0000-00002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926" b="935"/>
          <a:stretch/>
        </xdr:blipFill>
        <xdr:spPr>
          <a:xfrm>
            <a:off x="1128713" y="962025"/>
            <a:ext cx="7932909" cy="3939489"/>
          </a:xfrm>
          <a:prstGeom prst="rect">
            <a:avLst/>
          </a:prstGeom>
          <a:ln w="25400">
            <a:solidFill>
              <a:srgbClr val="00B0F0"/>
            </a:solidFill>
          </a:ln>
        </xdr:spPr>
      </xdr:pic>
      <xdr:grpSp>
        <xdr:nvGrpSpPr>
          <xdr:cNvPr id="44" name="Groupe 43">
            <a:extLst>
              <a:ext uri="{FF2B5EF4-FFF2-40B4-BE49-F238E27FC236}">
                <a16:creationId xmlns:a16="http://schemas.microsoft.com/office/drawing/2014/main" id="{00000000-0008-0000-0000-00002C000000}"/>
              </a:ext>
            </a:extLst>
          </xdr:cNvPr>
          <xdr:cNvGrpSpPr/>
        </xdr:nvGrpSpPr>
        <xdr:grpSpPr>
          <a:xfrm>
            <a:off x="4002009" y="2472558"/>
            <a:ext cx="2818533" cy="1977540"/>
            <a:chOff x="4002009" y="2472558"/>
            <a:chExt cx="2818533" cy="1977540"/>
          </a:xfrm>
        </xdr:grpSpPr>
        <xdr:sp macro="" textlink="">
          <xdr:nvSpPr>
            <xdr:cNvPr id="45" name="Ellipse 44">
              <a:extLst>
                <a:ext uri="{FF2B5EF4-FFF2-40B4-BE49-F238E27FC236}">
                  <a16:creationId xmlns:a16="http://schemas.microsoft.com/office/drawing/2014/main" id="{00000000-0008-0000-0000-00002D000000}"/>
                </a:ext>
              </a:extLst>
            </xdr:cNvPr>
            <xdr:cNvSpPr/>
          </xdr:nvSpPr>
          <xdr:spPr>
            <a:xfrm>
              <a:off x="4473146" y="2472558"/>
              <a:ext cx="469557" cy="955589"/>
            </a:xfrm>
            <a:prstGeom prst="ellipse">
              <a:avLst/>
            </a:prstGeom>
            <a:noFill/>
            <a:ln w="25400">
              <a:solidFill>
                <a:srgbClr val="00B0F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/>
            </a:p>
          </xdr:txBody>
        </xdr:sp>
        <xdr:sp macro="" textlink="">
          <xdr:nvSpPr>
            <xdr:cNvPr id="46" name="ZoneTexte 5">
              <a:extLst>
                <a:ext uri="{FF2B5EF4-FFF2-40B4-BE49-F238E27FC236}">
                  <a16:creationId xmlns:a16="http://schemas.microsoft.com/office/drawing/2014/main" id="{00000000-0008-0000-0000-00002E000000}"/>
                </a:ext>
              </a:extLst>
            </xdr:cNvPr>
            <xdr:cNvSpPr txBox="1"/>
          </xdr:nvSpPr>
          <xdr:spPr>
            <a:xfrm>
              <a:off x="4002009" y="4014203"/>
              <a:ext cx="2818533" cy="435895"/>
            </a:xfrm>
            <a:prstGeom prst="rect">
              <a:avLst/>
            </a:prstGeom>
            <a:noFill/>
            <a:ln w="25400">
              <a:solidFill>
                <a:srgbClr val="00B0F0"/>
              </a:solidFill>
              <a:prstDash val="solid"/>
            </a:ln>
          </xdr:spPr>
          <xdr:txBody>
            <a:bodyPr wrap="square" rtlCol="0">
              <a:spAutoFit/>
            </a:bodyPr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fr-FR" b="1"/>
                <a:t>Analyse Cabine 102</a:t>
              </a:r>
            </a:p>
          </xdr:txBody>
        </xdr:sp>
        <xdr:cxnSp macro="">
          <xdr:nvCxnSpPr>
            <xdr:cNvPr id="47" name="Connecteur droit avec flèche 46">
              <a:extLst>
                <a:ext uri="{FF2B5EF4-FFF2-40B4-BE49-F238E27FC236}">
                  <a16:creationId xmlns:a16="http://schemas.microsoft.com/office/drawing/2014/main" id="{00000000-0008-0000-0000-00002F000000}"/>
                </a:ext>
              </a:extLst>
            </xdr:cNvPr>
            <xdr:cNvCxnSpPr>
              <a:stCxn id="46" idx="0"/>
              <a:endCxn id="45" idx="4"/>
            </xdr:cNvCxnSpPr>
          </xdr:nvCxnSpPr>
          <xdr:spPr>
            <a:xfrm flipH="1" flipV="1">
              <a:off x="4707925" y="3428147"/>
              <a:ext cx="703352" cy="586056"/>
            </a:xfrm>
            <a:prstGeom prst="straightConnector1">
              <a:avLst/>
            </a:prstGeom>
            <a:ln w="25400">
              <a:solidFill>
                <a:srgbClr val="00B0F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 editAs="oneCell">
    <xdr:from>
      <xdr:col>10</xdr:col>
      <xdr:colOff>163286</xdr:colOff>
      <xdr:row>5</xdr:row>
      <xdr:rowOff>68037</xdr:rowOff>
    </xdr:from>
    <xdr:to>
      <xdr:col>20</xdr:col>
      <xdr:colOff>585108</xdr:colOff>
      <xdr:row>23</xdr:row>
      <xdr:rowOff>181816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15107" y="1197430"/>
          <a:ext cx="8041822" cy="35972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190501</xdr:colOff>
      <xdr:row>4</xdr:row>
      <xdr:rowOff>95250</xdr:rowOff>
    </xdr:from>
    <xdr:to>
      <xdr:col>2</xdr:col>
      <xdr:colOff>1476375</xdr:colOff>
      <xdr:row>11</xdr:row>
      <xdr:rowOff>106325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6" y="1666875"/>
          <a:ext cx="1285874" cy="1385375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179294</xdr:colOff>
      <xdr:row>14</xdr:row>
      <xdr:rowOff>168089</xdr:rowOff>
    </xdr:from>
    <xdr:to>
      <xdr:col>2</xdr:col>
      <xdr:colOff>1557615</xdr:colOff>
      <xdr:row>24</xdr:row>
      <xdr:rowOff>35217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0" y="3104030"/>
          <a:ext cx="1378321" cy="1772128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179295</xdr:colOff>
      <xdr:row>27</xdr:row>
      <xdr:rowOff>67235</xdr:rowOff>
    </xdr:from>
    <xdr:to>
      <xdr:col>2</xdr:col>
      <xdr:colOff>1546412</xdr:colOff>
      <xdr:row>33</xdr:row>
      <xdr:rowOff>114018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1" y="5681382"/>
          <a:ext cx="1367117" cy="1189783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33618</xdr:colOff>
      <xdr:row>35</xdr:row>
      <xdr:rowOff>112059</xdr:rowOff>
    </xdr:from>
    <xdr:to>
      <xdr:col>2</xdr:col>
      <xdr:colOff>1655111</xdr:colOff>
      <xdr:row>41</xdr:row>
      <xdr:rowOff>145677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9824" y="6678706"/>
          <a:ext cx="1621493" cy="1176618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56030</xdr:colOff>
      <xdr:row>44</xdr:row>
      <xdr:rowOff>123265</xdr:rowOff>
    </xdr:from>
    <xdr:to>
      <xdr:col>2</xdr:col>
      <xdr:colOff>1647261</xdr:colOff>
      <xdr:row>48</xdr:row>
      <xdr:rowOff>33618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2236" y="8426824"/>
          <a:ext cx="1591231" cy="672353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291354</xdr:colOff>
      <xdr:row>51</xdr:row>
      <xdr:rowOff>89647</xdr:rowOff>
    </xdr:from>
    <xdr:to>
      <xdr:col>2</xdr:col>
      <xdr:colOff>1463248</xdr:colOff>
      <xdr:row>57</xdr:row>
      <xdr:rowOff>112058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7560" y="9749118"/>
          <a:ext cx="1171894" cy="1165411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246529</xdr:colOff>
      <xdr:row>59</xdr:row>
      <xdr:rowOff>123265</xdr:rowOff>
    </xdr:from>
    <xdr:to>
      <xdr:col>2</xdr:col>
      <xdr:colOff>1400735</xdr:colOff>
      <xdr:row>65</xdr:row>
      <xdr:rowOff>172005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72735" y="11329147"/>
          <a:ext cx="1154206" cy="1191740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437029</xdr:colOff>
      <xdr:row>67</xdr:row>
      <xdr:rowOff>44824</xdr:rowOff>
    </xdr:from>
    <xdr:to>
      <xdr:col>2</xdr:col>
      <xdr:colOff>1187824</xdr:colOff>
      <xdr:row>73</xdr:row>
      <xdr:rowOff>159937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87211" y="13154688"/>
          <a:ext cx="750795" cy="1258113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78441</xdr:colOff>
      <xdr:row>75</xdr:row>
      <xdr:rowOff>44823</xdr:rowOff>
    </xdr:from>
    <xdr:to>
      <xdr:col>2</xdr:col>
      <xdr:colOff>1555828</xdr:colOff>
      <xdr:row>81</xdr:row>
      <xdr:rowOff>112058</xdr:rowOff>
    </xdr:to>
    <xdr:pic>
      <xdr:nvPicPr>
        <xdr:cNvPr id="18" name="Imag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8623" y="14713323"/>
          <a:ext cx="1477387" cy="1210235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112059</xdr:colOff>
      <xdr:row>84</xdr:row>
      <xdr:rowOff>51955</xdr:rowOff>
    </xdr:from>
    <xdr:to>
      <xdr:col>2</xdr:col>
      <xdr:colOff>1628906</xdr:colOff>
      <xdr:row>89</xdr:row>
      <xdr:rowOff>76201</xdr:rowOff>
    </xdr:to>
    <xdr:pic>
      <xdr:nvPicPr>
        <xdr:cNvPr id="21" name="Imag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241" y="16469591"/>
          <a:ext cx="1516847" cy="976746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89647</xdr:colOff>
      <xdr:row>91</xdr:row>
      <xdr:rowOff>168089</xdr:rowOff>
    </xdr:from>
    <xdr:to>
      <xdr:col>2</xdr:col>
      <xdr:colOff>1626528</xdr:colOff>
      <xdr:row>97</xdr:row>
      <xdr:rowOff>112059</xdr:rowOff>
    </xdr:to>
    <xdr:pic>
      <xdr:nvPicPr>
        <xdr:cNvPr id="23" name="Imag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88206" y="17559618"/>
          <a:ext cx="1536881" cy="1086970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407486</xdr:colOff>
      <xdr:row>99</xdr:row>
      <xdr:rowOff>86591</xdr:rowOff>
    </xdr:from>
    <xdr:to>
      <xdr:col>2</xdr:col>
      <xdr:colOff>1173345</xdr:colOff>
      <xdr:row>105</xdr:row>
      <xdr:rowOff>139565</xdr:rowOff>
    </xdr:to>
    <xdr:pic>
      <xdr:nvPicPr>
        <xdr:cNvPr id="25" name="Imag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57668" y="19431000"/>
          <a:ext cx="765859" cy="1195974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78442</xdr:colOff>
      <xdr:row>108</xdr:row>
      <xdr:rowOff>65315</xdr:rowOff>
    </xdr:from>
    <xdr:to>
      <xdr:col>2</xdr:col>
      <xdr:colOff>1543221</xdr:colOff>
      <xdr:row>112</xdr:row>
      <xdr:rowOff>134471</xdr:rowOff>
    </xdr:to>
    <xdr:pic>
      <xdr:nvPicPr>
        <xdr:cNvPr id="27" name="Imag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1642" y="20171229"/>
          <a:ext cx="1464779" cy="809385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56029</xdr:colOff>
      <xdr:row>116</xdr:row>
      <xdr:rowOff>112981</xdr:rowOff>
    </xdr:from>
    <xdr:to>
      <xdr:col>2</xdr:col>
      <xdr:colOff>1349829</xdr:colOff>
      <xdr:row>121</xdr:row>
      <xdr:rowOff>28350</xdr:rowOff>
    </xdr:to>
    <xdr:pic>
      <xdr:nvPicPr>
        <xdr:cNvPr id="30" name="Image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9229" y="21721124"/>
          <a:ext cx="1293800" cy="840655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89647</xdr:colOff>
      <xdr:row>124</xdr:row>
      <xdr:rowOff>44823</xdr:rowOff>
    </xdr:from>
    <xdr:to>
      <xdr:col>2</xdr:col>
      <xdr:colOff>1622652</xdr:colOff>
      <xdr:row>129</xdr:row>
      <xdr:rowOff>44823</xdr:rowOff>
    </xdr:to>
    <xdr:pic>
      <xdr:nvPicPr>
        <xdr:cNvPr id="32" name="Image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88206" y="23812499"/>
          <a:ext cx="1533005" cy="952500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324971</xdr:colOff>
      <xdr:row>131</xdr:row>
      <xdr:rowOff>68036</xdr:rowOff>
    </xdr:from>
    <xdr:to>
      <xdr:col>2</xdr:col>
      <xdr:colOff>1446751</xdr:colOff>
      <xdr:row>137</xdr:row>
      <xdr:rowOff>152140</xdr:rowOff>
    </xdr:to>
    <xdr:pic>
      <xdr:nvPicPr>
        <xdr:cNvPr id="34" name="Image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8864" y="25527000"/>
          <a:ext cx="1121780" cy="1227104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112059</xdr:colOff>
      <xdr:row>139</xdr:row>
      <xdr:rowOff>100853</xdr:rowOff>
    </xdr:from>
    <xdr:to>
      <xdr:col>2</xdr:col>
      <xdr:colOff>1602108</xdr:colOff>
      <xdr:row>145</xdr:row>
      <xdr:rowOff>89647</xdr:rowOff>
    </xdr:to>
    <xdr:pic>
      <xdr:nvPicPr>
        <xdr:cNvPr id="36" name="Imag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10618" y="26770853"/>
          <a:ext cx="1490049" cy="1131794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78442</xdr:colOff>
      <xdr:row>148</xdr:row>
      <xdr:rowOff>145676</xdr:rowOff>
    </xdr:from>
    <xdr:to>
      <xdr:col>2</xdr:col>
      <xdr:colOff>1596320</xdr:colOff>
      <xdr:row>152</xdr:row>
      <xdr:rowOff>67236</xdr:rowOff>
    </xdr:to>
    <xdr:pic>
      <xdr:nvPicPr>
        <xdr:cNvPr id="38" name="Image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1" y="28552588"/>
          <a:ext cx="1517878" cy="683559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78441</xdr:colOff>
      <xdr:row>156</xdr:row>
      <xdr:rowOff>100853</xdr:rowOff>
    </xdr:from>
    <xdr:to>
      <xdr:col>2</xdr:col>
      <xdr:colOff>1658470</xdr:colOff>
      <xdr:row>160</xdr:row>
      <xdr:rowOff>133976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30054177"/>
          <a:ext cx="1580029" cy="795123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515470</xdr:colOff>
      <xdr:row>163</xdr:row>
      <xdr:rowOff>67235</xdr:rowOff>
    </xdr:from>
    <xdr:to>
      <xdr:col>2</xdr:col>
      <xdr:colOff>1154205</xdr:colOff>
      <xdr:row>169</xdr:row>
      <xdr:rowOff>138702</xdr:rowOff>
    </xdr:to>
    <xdr:pic>
      <xdr:nvPicPr>
        <xdr:cNvPr id="42" name="Image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4029" y="31376470"/>
          <a:ext cx="638735" cy="1214467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324971</xdr:colOff>
      <xdr:row>171</xdr:row>
      <xdr:rowOff>44823</xdr:rowOff>
    </xdr:from>
    <xdr:to>
      <xdr:col>2</xdr:col>
      <xdr:colOff>1336413</xdr:colOff>
      <xdr:row>177</xdr:row>
      <xdr:rowOff>145676</xdr:rowOff>
    </xdr:to>
    <xdr:pic>
      <xdr:nvPicPr>
        <xdr:cNvPr id="44" name="Imag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0" y="32900470"/>
          <a:ext cx="1011442" cy="1243853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381001</xdr:colOff>
      <xdr:row>179</xdr:row>
      <xdr:rowOff>56031</xdr:rowOff>
    </xdr:from>
    <xdr:to>
      <xdr:col>2</xdr:col>
      <xdr:colOff>1299882</xdr:colOff>
      <xdr:row>185</xdr:row>
      <xdr:rowOff>146915</xdr:rowOff>
    </xdr:to>
    <xdr:pic>
      <xdr:nvPicPr>
        <xdr:cNvPr id="46" name="Imag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9560" y="34458090"/>
          <a:ext cx="918881" cy="1233884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474650</xdr:colOff>
      <xdr:row>187</xdr:row>
      <xdr:rowOff>68035</xdr:rowOff>
    </xdr:from>
    <xdr:to>
      <xdr:col>2</xdr:col>
      <xdr:colOff>1109517</xdr:colOff>
      <xdr:row>193</xdr:row>
      <xdr:rowOff>129629</xdr:rowOff>
    </xdr:to>
    <xdr:pic>
      <xdr:nvPicPr>
        <xdr:cNvPr id="48" name="Image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8543" y="36439928"/>
          <a:ext cx="634867" cy="1218201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81644</xdr:colOff>
      <xdr:row>196</xdr:row>
      <xdr:rowOff>81642</xdr:rowOff>
    </xdr:from>
    <xdr:to>
      <xdr:col>2</xdr:col>
      <xdr:colOff>1619251</xdr:colOff>
      <xdr:row>200</xdr:row>
      <xdr:rowOff>128192</xdr:rowOff>
    </xdr:to>
    <xdr:pic>
      <xdr:nvPicPr>
        <xdr:cNvPr id="54" name="Image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5537" y="38154428"/>
          <a:ext cx="1537607" cy="808550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81643</xdr:colOff>
      <xdr:row>203</xdr:row>
      <xdr:rowOff>149679</xdr:rowOff>
    </xdr:from>
    <xdr:to>
      <xdr:col>2</xdr:col>
      <xdr:colOff>1637140</xdr:colOff>
      <xdr:row>209</xdr:row>
      <xdr:rowOff>68036</xdr:rowOff>
    </xdr:to>
    <xdr:pic>
      <xdr:nvPicPr>
        <xdr:cNvPr id="55" name="Image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9786" y="39311036"/>
          <a:ext cx="1555497" cy="1061357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421822</xdr:colOff>
      <xdr:row>211</xdr:row>
      <xdr:rowOff>68036</xdr:rowOff>
    </xdr:from>
    <xdr:to>
      <xdr:col>2</xdr:col>
      <xdr:colOff>1220000</xdr:colOff>
      <xdr:row>217</xdr:row>
      <xdr:rowOff>149679</xdr:rowOff>
    </xdr:to>
    <xdr:pic>
      <xdr:nvPicPr>
        <xdr:cNvPr id="56" name="Image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9965" y="40780607"/>
          <a:ext cx="798178" cy="1224643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421821</xdr:colOff>
      <xdr:row>219</xdr:row>
      <xdr:rowOff>68037</xdr:rowOff>
    </xdr:from>
    <xdr:to>
      <xdr:col>2</xdr:col>
      <xdr:colOff>1224642</xdr:colOff>
      <xdr:row>225</xdr:row>
      <xdr:rowOff>113624</xdr:rowOff>
    </xdr:to>
    <xdr:pic>
      <xdr:nvPicPr>
        <xdr:cNvPr id="58" name="Image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9964" y="42331823"/>
          <a:ext cx="802821" cy="1188587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81644</xdr:colOff>
      <xdr:row>227</xdr:row>
      <xdr:rowOff>108857</xdr:rowOff>
    </xdr:from>
    <xdr:to>
      <xdr:col>2</xdr:col>
      <xdr:colOff>1676454</xdr:colOff>
      <xdr:row>233</xdr:row>
      <xdr:rowOff>54428</xdr:rowOff>
    </xdr:to>
    <xdr:pic>
      <xdr:nvPicPr>
        <xdr:cNvPr id="59" name="Image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9787" y="43923857"/>
          <a:ext cx="1594810" cy="1088571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342901</xdr:colOff>
      <xdr:row>5</xdr:row>
      <xdr:rowOff>142875</xdr:rowOff>
    </xdr:from>
    <xdr:to>
      <xdr:col>8</xdr:col>
      <xdr:colOff>301896</xdr:colOff>
      <xdr:row>23</xdr:row>
      <xdr:rowOff>85725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1" y="1270635"/>
          <a:ext cx="3890915" cy="3310890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295275</xdr:colOff>
      <xdr:row>5</xdr:row>
      <xdr:rowOff>142876</xdr:rowOff>
    </xdr:from>
    <xdr:to>
      <xdr:col>3</xdr:col>
      <xdr:colOff>1800225</xdr:colOff>
      <xdr:row>23</xdr:row>
      <xdr:rowOff>47625</xdr:rowOff>
    </xdr:to>
    <xdr:grpSp>
      <xdr:nvGrpSpPr>
        <xdr:cNvPr id="3" name="Group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pSpPr/>
      </xdr:nvGrpSpPr>
      <xdr:grpSpPr>
        <a:xfrm>
          <a:off x="295275" y="1263464"/>
          <a:ext cx="6067985" cy="3212726"/>
          <a:chOff x="1128713" y="962025"/>
          <a:chExt cx="7932909" cy="3939489"/>
        </a:xfrm>
      </xdr:grpSpPr>
      <xdr:pic>
        <xdr:nvPicPr>
          <xdr:cNvPr id="4" name="Image 3">
            <a:extLst>
              <a:ext uri="{FF2B5EF4-FFF2-40B4-BE49-F238E27FC236}">
                <a16:creationId xmlns:a16="http://schemas.microsoft.com/office/drawing/2014/main" id="{00000000-0008-0000-03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r="926" b="935"/>
          <a:stretch/>
        </xdr:blipFill>
        <xdr:spPr>
          <a:xfrm>
            <a:off x="1128713" y="962025"/>
            <a:ext cx="7932909" cy="3939489"/>
          </a:xfrm>
          <a:prstGeom prst="rect">
            <a:avLst/>
          </a:prstGeom>
          <a:ln w="25400">
            <a:solidFill>
              <a:srgbClr val="00B0F0"/>
            </a:solidFill>
          </a:ln>
        </xdr:spPr>
      </xdr:pic>
      <xdr:grpSp>
        <xdr:nvGrpSpPr>
          <xdr:cNvPr id="5" name="Groupe 4">
            <a:extLst>
              <a:ext uri="{FF2B5EF4-FFF2-40B4-BE49-F238E27FC236}">
                <a16:creationId xmlns:a16="http://schemas.microsoft.com/office/drawing/2014/main" id="{00000000-0008-0000-0300-000005000000}"/>
              </a:ext>
            </a:extLst>
          </xdr:cNvPr>
          <xdr:cNvGrpSpPr/>
        </xdr:nvGrpSpPr>
        <xdr:grpSpPr>
          <a:xfrm>
            <a:off x="4002009" y="2472558"/>
            <a:ext cx="2818533" cy="1977540"/>
            <a:chOff x="4002009" y="2472558"/>
            <a:chExt cx="2818533" cy="1977540"/>
          </a:xfrm>
        </xdr:grpSpPr>
        <xdr:sp macro="" textlink="">
          <xdr:nvSpPr>
            <xdr:cNvPr id="6" name="Ellipse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/>
          </xdr:nvSpPr>
          <xdr:spPr>
            <a:xfrm>
              <a:off x="4473146" y="2472558"/>
              <a:ext cx="469557" cy="955589"/>
            </a:xfrm>
            <a:prstGeom prst="ellipse">
              <a:avLst/>
            </a:prstGeom>
            <a:noFill/>
            <a:ln w="25400">
              <a:solidFill>
                <a:srgbClr val="00B0F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rot="0" spcFirstLastPara="0" vert="horz" wrap="square" lIns="91440" tIns="45720" rIns="91440" bIns="45720" numCol="1" spcCol="0" rtlCol="0" fromWordArt="0" anchor="ctr" anchorCtr="0" forceAA="0" compatLnSpc="1">
              <a:prstTxWarp prst="textNoShape">
                <a:avLst/>
              </a:prstTxWarp>
              <a:noAutofit/>
            </a:bodyPr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fr-FR"/>
            </a:p>
          </xdr:txBody>
        </xdr:sp>
        <xdr:sp macro="" textlink="">
          <xdr:nvSpPr>
            <xdr:cNvPr id="7" name="ZoneTexte 5">
              <a:extLst>
                <a:ext uri="{FF2B5EF4-FFF2-40B4-BE49-F238E27FC236}">
                  <a16:creationId xmlns:a16="http://schemas.microsoft.com/office/drawing/2014/main" id="{00000000-0008-0000-0300-000007000000}"/>
                </a:ext>
              </a:extLst>
            </xdr:cNvPr>
            <xdr:cNvSpPr txBox="1"/>
          </xdr:nvSpPr>
          <xdr:spPr>
            <a:xfrm>
              <a:off x="4002009" y="4014203"/>
              <a:ext cx="2818533" cy="435895"/>
            </a:xfrm>
            <a:prstGeom prst="rect">
              <a:avLst/>
            </a:prstGeom>
            <a:noFill/>
            <a:ln w="25400">
              <a:solidFill>
                <a:srgbClr val="00B0F0"/>
              </a:solidFill>
              <a:prstDash val="solid"/>
            </a:ln>
          </xdr:spPr>
          <xdr:txBody>
            <a:bodyPr wrap="square" rtlCol="0">
              <a:spAutoFit/>
            </a:bodyPr>
            <a:lstStyle>
              <a:defPPr>
                <a:defRPr lang="fr-FR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fr-FR" b="1"/>
                <a:t>Analyse Cabine 102</a:t>
              </a:r>
            </a:p>
          </xdr:txBody>
        </xdr:sp>
        <xdr:cxnSp macro="">
          <xdr:nvCxnSpPr>
            <xdr:cNvPr id="8" name="Connecteur droit avec flèche 7">
              <a:extLst>
                <a:ext uri="{FF2B5EF4-FFF2-40B4-BE49-F238E27FC236}">
                  <a16:creationId xmlns:a16="http://schemas.microsoft.com/office/drawing/2014/main" id="{00000000-0008-0000-0300-000008000000}"/>
                </a:ext>
              </a:extLst>
            </xdr:cNvPr>
            <xdr:cNvCxnSpPr>
              <a:stCxn id="7" idx="0"/>
              <a:endCxn id="6" idx="4"/>
            </xdr:cNvCxnSpPr>
          </xdr:nvCxnSpPr>
          <xdr:spPr>
            <a:xfrm flipH="1" flipV="1">
              <a:off x="4707925" y="3428147"/>
              <a:ext cx="703352" cy="586056"/>
            </a:xfrm>
            <a:prstGeom prst="straightConnector1">
              <a:avLst/>
            </a:prstGeom>
            <a:ln w="25400">
              <a:solidFill>
                <a:srgbClr val="00B0F0"/>
              </a:solidFill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 editAs="oneCell">
    <xdr:from>
      <xdr:col>10</xdr:col>
      <xdr:colOff>80681</xdr:colOff>
      <xdr:row>5</xdr:row>
      <xdr:rowOff>54910</xdr:rowOff>
    </xdr:from>
    <xdr:to>
      <xdr:col>14</xdr:col>
      <xdr:colOff>664922</xdr:colOff>
      <xdr:row>23</xdr:row>
      <xdr:rowOff>56029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03161" y="1182670"/>
          <a:ext cx="3754161" cy="3369159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921123</xdr:colOff>
      <xdr:row>198</xdr:row>
      <xdr:rowOff>140075</xdr:rowOff>
    </xdr:from>
    <xdr:to>
      <xdr:col>1</xdr:col>
      <xdr:colOff>1711587</xdr:colOff>
      <xdr:row>205</xdr:row>
      <xdr:rowOff>39221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1094" y="34833487"/>
          <a:ext cx="790464" cy="1232646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1149163</xdr:colOff>
      <xdr:row>215</xdr:row>
      <xdr:rowOff>32818</xdr:rowOff>
    </xdr:from>
    <xdr:to>
      <xdr:col>1</xdr:col>
      <xdr:colOff>383971</xdr:colOff>
      <xdr:row>219</xdr:row>
      <xdr:rowOff>101973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9163" y="37964730"/>
          <a:ext cx="1464779" cy="831155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514349</xdr:colOff>
      <xdr:row>207</xdr:row>
      <xdr:rowOff>6525</xdr:rowOff>
    </xdr:from>
    <xdr:to>
      <xdr:col>1</xdr:col>
      <xdr:colOff>1808149</xdr:colOff>
      <xdr:row>211</xdr:row>
      <xdr:rowOff>112393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4320" y="36414437"/>
          <a:ext cx="1293800" cy="867868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1008530</xdr:colOff>
      <xdr:row>206</xdr:row>
      <xdr:rowOff>156881</xdr:rowOff>
    </xdr:from>
    <xdr:to>
      <xdr:col>1</xdr:col>
      <xdr:colOff>311564</xdr:colOff>
      <xdr:row>211</xdr:row>
      <xdr:rowOff>156880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8530" y="36374293"/>
          <a:ext cx="1533005" cy="952499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1804147</xdr:colOff>
      <xdr:row>198</xdr:row>
      <xdr:rowOff>67236</xdr:rowOff>
    </xdr:from>
    <xdr:to>
      <xdr:col>1</xdr:col>
      <xdr:colOff>717176</xdr:colOff>
      <xdr:row>204</xdr:row>
      <xdr:rowOff>174552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00000000-0008-0000-0F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4147" y="34760648"/>
          <a:ext cx="1143000" cy="1250316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1871382</xdr:colOff>
      <xdr:row>191</xdr:row>
      <xdr:rowOff>44824</xdr:rowOff>
    </xdr:from>
    <xdr:to>
      <xdr:col>1</xdr:col>
      <xdr:colOff>1131460</xdr:colOff>
      <xdr:row>197</xdr:row>
      <xdr:rowOff>33618</xdr:rowOff>
    </xdr:to>
    <xdr:pic>
      <xdr:nvPicPr>
        <xdr:cNvPr id="18" name="Image 17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1382" y="33404736"/>
          <a:ext cx="1490049" cy="1131794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191</xdr:row>
      <xdr:rowOff>145676</xdr:rowOff>
    </xdr:from>
    <xdr:to>
      <xdr:col>0</xdr:col>
      <xdr:colOff>1517878</xdr:colOff>
      <xdr:row>195</xdr:row>
      <xdr:rowOff>67235</xdr:rowOff>
    </xdr:to>
    <xdr:pic>
      <xdr:nvPicPr>
        <xdr:cNvPr id="19" name="Image 18">
          <a:extLst>
            <a:ext uri="{FF2B5EF4-FFF2-40B4-BE49-F238E27FC236}">
              <a16:creationId xmlns:a16="http://schemas.microsoft.com/office/drawing/2014/main" id="{00000000-0008-0000-0F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1142" y="28492076"/>
          <a:ext cx="1517878" cy="683559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199</xdr:row>
      <xdr:rowOff>100853</xdr:rowOff>
    </xdr:from>
    <xdr:to>
      <xdr:col>0</xdr:col>
      <xdr:colOff>1580029</xdr:colOff>
      <xdr:row>203</xdr:row>
      <xdr:rowOff>133977</xdr:rowOff>
    </xdr:to>
    <xdr:pic>
      <xdr:nvPicPr>
        <xdr:cNvPr id="20" name="Image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1141" y="29990303"/>
          <a:ext cx="1580029" cy="795123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206</xdr:row>
      <xdr:rowOff>67235</xdr:rowOff>
    </xdr:from>
    <xdr:to>
      <xdr:col>0</xdr:col>
      <xdr:colOff>638735</xdr:colOff>
      <xdr:row>212</xdr:row>
      <xdr:rowOff>138702</xdr:rowOff>
    </xdr:to>
    <xdr:pic>
      <xdr:nvPicPr>
        <xdr:cNvPr id="21" name="Image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8170" y="31309235"/>
          <a:ext cx="638735" cy="1214467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214</xdr:row>
      <xdr:rowOff>44823</xdr:rowOff>
    </xdr:from>
    <xdr:to>
      <xdr:col>0</xdr:col>
      <xdr:colOff>1011442</xdr:colOff>
      <xdr:row>220</xdr:row>
      <xdr:rowOff>145677</xdr:rowOff>
    </xdr:to>
    <xdr:pic>
      <xdr:nvPicPr>
        <xdr:cNvPr id="22" name="Image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7671" y="32829873"/>
          <a:ext cx="1011442" cy="1243853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222</xdr:row>
      <xdr:rowOff>56031</xdr:rowOff>
    </xdr:from>
    <xdr:to>
      <xdr:col>0</xdr:col>
      <xdr:colOff>918881</xdr:colOff>
      <xdr:row>228</xdr:row>
      <xdr:rowOff>146916</xdr:rowOff>
    </xdr:to>
    <xdr:pic>
      <xdr:nvPicPr>
        <xdr:cNvPr id="23" name="Image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701" y="34384131"/>
          <a:ext cx="918881" cy="1233884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1299882</xdr:colOff>
      <xdr:row>222</xdr:row>
      <xdr:rowOff>11205</xdr:rowOff>
    </xdr:from>
    <xdr:to>
      <xdr:col>0</xdr:col>
      <xdr:colOff>1961029</xdr:colOff>
      <xdr:row>228</xdr:row>
      <xdr:rowOff>123227</xdr:rowOff>
    </xdr:to>
    <xdr:pic>
      <xdr:nvPicPr>
        <xdr:cNvPr id="24" name="Image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882" y="39276617"/>
          <a:ext cx="661147" cy="1255022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67235</xdr:colOff>
      <xdr:row>222</xdr:row>
      <xdr:rowOff>155281</xdr:rowOff>
    </xdr:from>
    <xdr:to>
      <xdr:col>1</xdr:col>
      <xdr:colOff>1604842</xdr:colOff>
      <xdr:row>227</xdr:row>
      <xdr:rowOff>11331</xdr:rowOff>
    </xdr:to>
    <xdr:pic>
      <xdr:nvPicPr>
        <xdr:cNvPr id="25" name="Image 24">
          <a:extLst>
            <a:ext uri="{FF2B5EF4-FFF2-40B4-BE49-F238E27FC236}">
              <a16:creationId xmlns:a16="http://schemas.microsoft.com/office/drawing/2014/main" id="{00000000-0008-0000-0F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97206" y="39420693"/>
          <a:ext cx="1537607" cy="808550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1882588</xdr:colOff>
      <xdr:row>222</xdr:row>
      <xdr:rowOff>26414</xdr:rowOff>
    </xdr:from>
    <xdr:to>
      <xdr:col>1</xdr:col>
      <xdr:colOff>3438085</xdr:colOff>
      <xdr:row>227</xdr:row>
      <xdr:rowOff>135270</xdr:rowOff>
    </xdr:to>
    <xdr:pic>
      <xdr:nvPicPr>
        <xdr:cNvPr id="26" name="Image 25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2559" y="39291826"/>
          <a:ext cx="1555497" cy="1061356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3697941</xdr:colOff>
      <xdr:row>221</xdr:row>
      <xdr:rowOff>157683</xdr:rowOff>
    </xdr:from>
    <xdr:to>
      <xdr:col>1</xdr:col>
      <xdr:colOff>4496119</xdr:colOff>
      <xdr:row>228</xdr:row>
      <xdr:rowOff>48825</xdr:rowOff>
    </xdr:to>
    <xdr:pic>
      <xdr:nvPicPr>
        <xdr:cNvPr id="27" name="Image 26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27912" y="39232595"/>
          <a:ext cx="798178" cy="1224642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683559</xdr:colOff>
      <xdr:row>214</xdr:row>
      <xdr:rowOff>801</xdr:rowOff>
    </xdr:from>
    <xdr:to>
      <xdr:col>1</xdr:col>
      <xdr:colOff>1486380</xdr:colOff>
      <xdr:row>220</xdr:row>
      <xdr:rowOff>46387</xdr:rowOff>
    </xdr:to>
    <xdr:pic>
      <xdr:nvPicPr>
        <xdr:cNvPr id="28" name="Image 27">
          <a:extLst>
            <a:ext uri="{FF2B5EF4-FFF2-40B4-BE49-F238E27FC236}">
              <a16:creationId xmlns:a16="http://schemas.microsoft.com/office/drawing/2014/main" id="{00000000-0008-0000-0F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3530" y="37742213"/>
          <a:ext cx="802821" cy="1188586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4706470</xdr:colOff>
      <xdr:row>222</xdr:row>
      <xdr:rowOff>41622</xdr:rowOff>
    </xdr:from>
    <xdr:to>
      <xdr:col>2</xdr:col>
      <xdr:colOff>866427</xdr:colOff>
      <xdr:row>227</xdr:row>
      <xdr:rowOff>177692</xdr:rowOff>
    </xdr:to>
    <xdr:pic>
      <xdr:nvPicPr>
        <xdr:cNvPr id="29" name="Image 28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6441" y="39307034"/>
          <a:ext cx="1594810" cy="1088570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489857</xdr:colOff>
      <xdr:row>3</xdr:row>
      <xdr:rowOff>68036</xdr:rowOff>
    </xdr:from>
    <xdr:to>
      <xdr:col>2</xdr:col>
      <xdr:colOff>1288035</xdr:colOff>
      <xdr:row>9</xdr:row>
      <xdr:rowOff>136072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1821" y="639536"/>
          <a:ext cx="798178" cy="1224643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557893</xdr:colOff>
      <xdr:row>3</xdr:row>
      <xdr:rowOff>81643</xdr:rowOff>
    </xdr:from>
    <xdr:to>
      <xdr:col>2</xdr:col>
      <xdr:colOff>1360714</xdr:colOff>
      <xdr:row>9</xdr:row>
      <xdr:rowOff>113623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2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09857" y="653143"/>
          <a:ext cx="802821" cy="1188587"/>
        </a:xfrm>
        <a:prstGeom prst="rect">
          <a:avLst/>
        </a:prstGeom>
        <a:noFill/>
        <a:ln w="25400">
          <a:solidFill>
            <a:srgbClr val="00B0F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damien.labadie/AppData/Local/Microsoft/Windows/INetCache/Content.Outlook/ASACLSSD/ACV_OPERA_QATAR-ELEC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CV - FOLIO - 1"/>
      <sheetName val="ACV - ANALYSE - EQUIPEMENT"/>
      <sheetName val="CALCUL MASSE CABLE"/>
    </sheetNames>
    <sheetDataSet>
      <sheetData sheetId="0"/>
      <sheetData sheetId="1"/>
      <sheetData sheetId="2">
        <row r="57">
          <cell r="F57">
            <v>3.3649999999999998</v>
          </cell>
        </row>
      </sheetData>
    </sheetDataSet>
  </externalBook>
</externalLink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Feuil1"/>
  <dimension ref="A1:U26"/>
  <sheetViews>
    <sheetView zoomScale="85" zoomScaleNormal="85" workbookViewId="0">
      <selection activeCell="L5" sqref="L5:T5"/>
    </sheetView>
  </sheetViews>
  <sheetFormatPr baseColWidth="10" defaultColWidth="11.44140625" defaultRowHeight="14.4" x14ac:dyDescent="0.3"/>
  <cols>
    <col min="1" max="1" width="18" bestFit="1" customWidth="1"/>
    <col min="2" max="2" width="17.109375" bestFit="1" customWidth="1"/>
    <col min="3" max="4" width="31.33203125" bestFit="1" customWidth="1"/>
    <col min="5" max="5" width="17.88671875" bestFit="1" customWidth="1"/>
    <col min="6" max="6" width="14.44140625" bestFit="1" customWidth="1"/>
    <col min="7" max="7" width="13.6640625" bestFit="1" customWidth="1"/>
    <col min="8" max="8" width="11.33203125" bestFit="1" customWidth="1"/>
  </cols>
  <sheetData>
    <row r="1" spans="1:21" ht="20.100000000000001" customHeight="1" thickBot="1" x14ac:dyDescent="0.35">
      <c r="A1" s="989" t="s">
        <v>0</v>
      </c>
      <c r="B1" s="990"/>
      <c r="C1" s="990"/>
      <c r="D1" s="991"/>
    </row>
    <row r="2" spans="1:21" ht="20.100000000000001" customHeight="1" thickBot="1" x14ac:dyDescent="0.35">
      <c r="A2" s="992" t="s">
        <v>1</v>
      </c>
      <c r="B2" s="993"/>
      <c r="C2" s="993"/>
      <c r="D2" s="994"/>
    </row>
    <row r="3" spans="1:21" ht="20.100000000000001" customHeight="1" thickBot="1" x14ac:dyDescent="0.35">
      <c r="A3" s="989" t="s">
        <v>2</v>
      </c>
      <c r="B3" s="990"/>
      <c r="C3" s="990"/>
      <c r="D3" s="991"/>
    </row>
    <row r="4" spans="1:21" ht="15" thickBot="1" x14ac:dyDescent="0.35"/>
    <row r="5" spans="1:21" ht="15" thickBot="1" x14ac:dyDescent="0.35">
      <c r="L5" s="986" t="s">
        <v>3</v>
      </c>
      <c r="M5" s="987"/>
      <c r="N5" s="987"/>
      <c r="O5" s="987"/>
      <c r="P5" s="987"/>
      <c r="Q5" s="987"/>
      <c r="R5" s="987"/>
      <c r="S5" s="987"/>
      <c r="T5" s="988"/>
    </row>
    <row r="6" spans="1:21" ht="18.75" customHeight="1" x14ac:dyDescent="0.3">
      <c r="A6" s="995"/>
      <c r="B6" s="996"/>
      <c r="C6" s="996"/>
      <c r="D6" s="997"/>
      <c r="E6" s="995"/>
      <c r="F6" s="996"/>
      <c r="G6" s="996"/>
      <c r="H6" s="996"/>
      <c r="I6" s="997"/>
      <c r="K6" s="985"/>
      <c r="L6" s="985"/>
      <c r="M6" s="985"/>
      <c r="N6" s="985"/>
      <c r="O6" s="985"/>
      <c r="P6" s="985"/>
      <c r="Q6" s="985"/>
      <c r="R6" s="985"/>
      <c r="S6" s="985"/>
      <c r="T6" s="985"/>
      <c r="U6" s="985"/>
    </row>
    <row r="7" spans="1:21" ht="15" customHeight="1" x14ac:dyDescent="0.3">
      <c r="A7" s="998"/>
      <c r="B7" s="999"/>
      <c r="C7" s="999"/>
      <c r="D7" s="1000"/>
      <c r="E7" s="998"/>
      <c r="F7" s="999"/>
      <c r="G7" s="999"/>
      <c r="H7" s="999"/>
      <c r="I7" s="1000"/>
      <c r="K7" s="985"/>
      <c r="L7" s="985"/>
      <c r="M7" s="985"/>
      <c r="N7" s="985"/>
      <c r="O7" s="985"/>
      <c r="P7" s="985"/>
      <c r="Q7" s="985"/>
      <c r="R7" s="985"/>
      <c r="S7" s="985"/>
      <c r="T7" s="985"/>
      <c r="U7" s="985"/>
    </row>
    <row r="8" spans="1:21" ht="15" customHeight="1" x14ac:dyDescent="0.3">
      <c r="A8" s="998"/>
      <c r="B8" s="999"/>
      <c r="C8" s="999"/>
      <c r="D8" s="1000"/>
      <c r="E8" s="998"/>
      <c r="F8" s="999"/>
      <c r="G8" s="999"/>
      <c r="H8" s="999"/>
      <c r="I8" s="1000"/>
      <c r="K8" s="985"/>
      <c r="L8" s="985"/>
      <c r="M8" s="985"/>
      <c r="N8" s="985"/>
      <c r="O8" s="985"/>
      <c r="P8" s="985"/>
      <c r="Q8" s="985"/>
      <c r="R8" s="985"/>
      <c r="S8" s="985"/>
      <c r="T8" s="985"/>
      <c r="U8" s="985"/>
    </row>
    <row r="9" spans="1:21" ht="15" customHeight="1" x14ac:dyDescent="0.3">
      <c r="A9" s="998"/>
      <c r="B9" s="999"/>
      <c r="C9" s="999"/>
      <c r="D9" s="1000"/>
      <c r="E9" s="998"/>
      <c r="F9" s="999"/>
      <c r="G9" s="999"/>
      <c r="H9" s="999"/>
      <c r="I9" s="1000"/>
      <c r="K9" s="985"/>
      <c r="L9" s="985"/>
      <c r="M9" s="985"/>
      <c r="N9" s="985"/>
      <c r="O9" s="985"/>
      <c r="P9" s="985"/>
      <c r="Q9" s="985"/>
      <c r="R9" s="985"/>
      <c r="S9" s="985"/>
      <c r="T9" s="985"/>
      <c r="U9" s="985"/>
    </row>
    <row r="10" spans="1:21" x14ac:dyDescent="0.3">
      <c r="A10" s="998"/>
      <c r="B10" s="999"/>
      <c r="C10" s="999"/>
      <c r="D10" s="1000"/>
      <c r="E10" s="998"/>
      <c r="F10" s="999"/>
      <c r="G10" s="999"/>
      <c r="H10" s="999"/>
      <c r="I10" s="1000"/>
      <c r="K10" s="985"/>
      <c r="L10" s="985"/>
      <c r="M10" s="985"/>
      <c r="N10" s="985"/>
      <c r="O10" s="985"/>
      <c r="P10" s="985"/>
      <c r="Q10" s="985"/>
      <c r="R10" s="985"/>
      <c r="S10" s="985"/>
      <c r="T10" s="985"/>
      <c r="U10" s="985"/>
    </row>
    <row r="11" spans="1:21" x14ac:dyDescent="0.3">
      <c r="A11" s="998"/>
      <c r="B11" s="999"/>
      <c r="C11" s="999"/>
      <c r="D11" s="1000"/>
      <c r="E11" s="998"/>
      <c r="F11" s="999"/>
      <c r="G11" s="999"/>
      <c r="H11" s="999"/>
      <c r="I11" s="1000"/>
      <c r="K11" s="985"/>
      <c r="L11" s="985"/>
      <c r="M11" s="985"/>
      <c r="N11" s="985"/>
      <c r="O11" s="985"/>
      <c r="P11" s="985"/>
      <c r="Q11" s="985"/>
      <c r="R11" s="985"/>
      <c r="S11" s="985"/>
      <c r="T11" s="985"/>
      <c r="U11" s="985"/>
    </row>
    <row r="12" spans="1:21" x14ac:dyDescent="0.3">
      <c r="A12" s="998"/>
      <c r="B12" s="999"/>
      <c r="C12" s="999"/>
      <c r="D12" s="1000"/>
      <c r="E12" s="998"/>
      <c r="F12" s="999"/>
      <c r="G12" s="999"/>
      <c r="H12" s="999"/>
      <c r="I12" s="1000"/>
      <c r="K12" s="985"/>
      <c r="L12" s="985"/>
      <c r="M12" s="985"/>
      <c r="N12" s="985"/>
      <c r="O12" s="985"/>
      <c r="P12" s="985"/>
      <c r="Q12" s="985"/>
      <c r="R12" s="985"/>
      <c r="S12" s="985"/>
      <c r="T12" s="985"/>
      <c r="U12" s="985"/>
    </row>
    <row r="13" spans="1:21" x14ac:dyDescent="0.3">
      <c r="A13" s="998"/>
      <c r="B13" s="999"/>
      <c r="C13" s="999"/>
      <c r="D13" s="1000"/>
      <c r="E13" s="998"/>
      <c r="F13" s="999"/>
      <c r="G13" s="999"/>
      <c r="H13" s="999"/>
      <c r="I13" s="1000"/>
      <c r="K13" s="985"/>
      <c r="L13" s="985"/>
      <c r="M13" s="985"/>
      <c r="N13" s="985"/>
      <c r="O13" s="985"/>
      <c r="P13" s="985"/>
      <c r="Q13" s="985"/>
      <c r="R13" s="985"/>
      <c r="S13" s="985"/>
      <c r="T13" s="985"/>
      <c r="U13" s="985"/>
    </row>
    <row r="14" spans="1:21" x14ac:dyDescent="0.3">
      <c r="A14" s="998"/>
      <c r="B14" s="999"/>
      <c r="C14" s="999"/>
      <c r="D14" s="1000"/>
      <c r="E14" s="998"/>
      <c r="F14" s="999"/>
      <c r="G14" s="999"/>
      <c r="H14" s="999"/>
      <c r="I14" s="1000"/>
      <c r="K14" s="985"/>
      <c r="L14" s="985"/>
      <c r="M14" s="985"/>
      <c r="N14" s="985"/>
      <c r="O14" s="985"/>
      <c r="P14" s="985"/>
      <c r="Q14" s="985"/>
      <c r="R14" s="985"/>
      <c r="S14" s="985"/>
      <c r="T14" s="985"/>
      <c r="U14" s="985"/>
    </row>
    <row r="15" spans="1:21" x14ac:dyDescent="0.3">
      <c r="A15" s="998"/>
      <c r="B15" s="999"/>
      <c r="C15" s="999"/>
      <c r="D15" s="1000"/>
      <c r="E15" s="998"/>
      <c r="F15" s="999"/>
      <c r="G15" s="999"/>
      <c r="H15" s="999"/>
      <c r="I15" s="1000"/>
      <c r="K15" s="985"/>
      <c r="L15" s="985"/>
      <c r="M15" s="985"/>
      <c r="N15" s="985"/>
      <c r="O15" s="985"/>
      <c r="P15" s="985"/>
      <c r="Q15" s="985"/>
      <c r="R15" s="985"/>
      <c r="S15" s="985"/>
      <c r="T15" s="985"/>
      <c r="U15" s="985"/>
    </row>
    <row r="16" spans="1:21" x14ac:dyDescent="0.3">
      <c r="A16" s="998"/>
      <c r="B16" s="999"/>
      <c r="C16" s="999"/>
      <c r="D16" s="1000"/>
      <c r="E16" s="998"/>
      <c r="F16" s="999"/>
      <c r="G16" s="999"/>
      <c r="H16" s="999"/>
      <c r="I16" s="1000"/>
      <c r="K16" s="985"/>
      <c r="L16" s="985"/>
      <c r="M16" s="985"/>
      <c r="N16" s="985"/>
      <c r="O16" s="985"/>
      <c r="P16" s="985"/>
      <c r="Q16" s="985"/>
      <c r="R16" s="985"/>
      <c r="S16" s="985"/>
      <c r="T16" s="985"/>
      <c r="U16" s="985"/>
    </row>
    <row r="17" spans="1:21" x14ac:dyDescent="0.3">
      <c r="A17" s="998"/>
      <c r="B17" s="999"/>
      <c r="C17" s="999"/>
      <c r="D17" s="1000"/>
      <c r="E17" s="998"/>
      <c r="F17" s="999"/>
      <c r="G17" s="999"/>
      <c r="H17" s="999"/>
      <c r="I17" s="1000"/>
      <c r="K17" s="985"/>
      <c r="L17" s="985"/>
      <c r="M17" s="985"/>
      <c r="N17" s="985"/>
      <c r="O17" s="985"/>
      <c r="P17" s="985"/>
      <c r="Q17" s="985"/>
      <c r="R17" s="985"/>
      <c r="S17" s="985"/>
      <c r="T17" s="985"/>
      <c r="U17" s="985"/>
    </row>
    <row r="18" spans="1:21" x14ac:dyDescent="0.3">
      <c r="A18" s="998"/>
      <c r="B18" s="999"/>
      <c r="C18" s="999"/>
      <c r="D18" s="1000"/>
      <c r="E18" s="998"/>
      <c r="F18" s="999"/>
      <c r="G18" s="999"/>
      <c r="H18" s="999"/>
      <c r="I18" s="1000"/>
      <c r="K18" s="985"/>
      <c r="L18" s="985"/>
      <c r="M18" s="985"/>
      <c r="N18" s="985"/>
      <c r="O18" s="985"/>
      <c r="P18" s="985"/>
      <c r="Q18" s="985"/>
      <c r="R18" s="985"/>
      <c r="S18" s="985"/>
      <c r="T18" s="985"/>
      <c r="U18" s="985"/>
    </row>
    <row r="19" spans="1:21" x14ac:dyDescent="0.3">
      <c r="A19" s="998"/>
      <c r="B19" s="999"/>
      <c r="C19" s="999"/>
      <c r="D19" s="1000"/>
      <c r="E19" s="998"/>
      <c r="F19" s="999"/>
      <c r="G19" s="999"/>
      <c r="H19" s="999"/>
      <c r="I19" s="1000"/>
      <c r="K19" s="985"/>
      <c r="L19" s="985"/>
      <c r="M19" s="985"/>
      <c r="N19" s="985"/>
      <c r="O19" s="985"/>
      <c r="P19" s="985"/>
      <c r="Q19" s="985"/>
      <c r="R19" s="985"/>
      <c r="S19" s="985"/>
      <c r="T19" s="985"/>
      <c r="U19" s="985"/>
    </row>
    <row r="20" spans="1:21" x14ac:dyDescent="0.3">
      <c r="A20" s="998"/>
      <c r="B20" s="999"/>
      <c r="C20" s="999"/>
      <c r="D20" s="1000"/>
      <c r="E20" s="998"/>
      <c r="F20" s="999"/>
      <c r="G20" s="999"/>
      <c r="H20" s="999"/>
      <c r="I20" s="1000"/>
      <c r="K20" s="985"/>
      <c r="L20" s="985"/>
      <c r="M20" s="985"/>
      <c r="N20" s="985"/>
      <c r="O20" s="985"/>
      <c r="P20" s="985"/>
      <c r="Q20" s="985"/>
      <c r="R20" s="985"/>
      <c r="S20" s="985"/>
      <c r="T20" s="985"/>
      <c r="U20" s="985"/>
    </row>
    <row r="21" spans="1:21" x14ac:dyDescent="0.3">
      <c r="A21" s="998"/>
      <c r="B21" s="999"/>
      <c r="C21" s="999"/>
      <c r="D21" s="1000"/>
      <c r="E21" s="998"/>
      <c r="F21" s="999"/>
      <c r="G21" s="999"/>
      <c r="H21" s="999"/>
      <c r="I21" s="1000"/>
      <c r="K21" s="985"/>
      <c r="L21" s="985"/>
      <c r="M21" s="985"/>
      <c r="N21" s="985"/>
      <c r="O21" s="985"/>
      <c r="P21" s="985"/>
      <c r="Q21" s="985"/>
      <c r="R21" s="985"/>
      <c r="S21" s="985"/>
      <c r="T21" s="985"/>
      <c r="U21" s="985"/>
    </row>
    <row r="22" spans="1:21" x14ac:dyDescent="0.3">
      <c r="A22" s="998"/>
      <c r="B22" s="999"/>
      <c r="C22" s="999"/>
      <c r="D22" s="1000"/>
      <c r="E22" s="998"/>
      <c r="F22" s="999"/>
      <c r="G22" s="999"/>
      <c r="H22" s="999"/>
      <c r="I22" s="1000"/>
      <c r="K22" s="985"/>
      <c r="L22" s="985"/>
      <c r="M22" s="985"/>
      <c r="N22" s="985"/>
      <c r="O22" s="985"/>
      <c r="P22" s="985"/>
      <c r="Q22" s="985"/>
      <c r="R22" s="985"/>
      <c r="S22" s="985"/>
      <c r="T22" s="985"/>
      <c r="U22" s="985"/>
    </row>
    <row r="23" spans="1:21" x14ac:dyDescent="0.3">
      <c r="A23" s="998"/>
      <c r="B23" s="999"/>
      <c r="C23" s="999"/>
      <c r="D23" s="1000"/>
      <c r="E23" s="998"/>
      <c r="F23" s="999"/>
      <c r="G23" s="999"/>
      <c r="H23" s="999"/>
      <c r="I23" s="1000"/>
      <c r="K23" s="985"/>
      <c r="L23" s="985"/>
      <c r="M23" s="985"/>
      <c r="N23" s="985"/>
      <c r="O23" s="985"/>
      <c r="P23" s="985"/>
      <c r="Q23" s="985"/>
      <c r="R23" s="985"/>
      <c r="S23" s="985"/>
      <c r="T23" s="985"/>
      <c r="U23" s="985"/>
    </row>
    <row r="24" spans="1:21" ht="15" thickBot="1" x14ac:dyDescent="0.35">
      <c r="A24" s="1001"/>
      <c r="B24" s="1002"/>
      <c r="C24" s="1002"/>
      <c r="D24" s="1003"/>
      <c r="E24" s="1001"/>
      <c r="F24" s="1002"/>
      <c r="G24" s="1002"/>
      <c r="H24" s="1002"/>
      <c r="I24" s="1003"/>
      <c r="K24" s="985"/>
      <c r="L24" s="985"/>
      <c r="M24" s="985"/>
      <c r="N24" s="985"/>
      <c r="O24" s="985"/>
      <c r="P24" s="985"/>
      <c r="Q24" s="985"/>
      <c r="R24" s="985"/>
      <c r="S24" s="985"/>
      <c r="T24" s="985"/>
      <c r="U24" s="985"/>
    </row>
    <row r="25" spans="1:21" x14ac:dyDescent="0.3">
      <c r="A25" s="1"/>
      <c r="B25" s="1"/>
      <c r="C25" s="1"/>
      <c r="D25" s="1"/>
    </row>
    <row r="26" spans="1:21" x14ac:dyDescent="0.3">
      <c r="A26" s="1"/>
      <c r="B26" s="1"/>
      <c r="C26" s="1"/>
      <c r="D26" s="1"/>
    </row>
  </sheetData>
  <mergeCells count="7">
    <mergeCell ref="K6:U24"/>
    <mergeCell ref="L5:T5"/>
    <mergeCell ref="A1:D1"/>
    <mergeCell ref="A2:D2"/>
    <mergeCell ref="A6:D24"/>
    <mergeCell ref="A3:D3"/>
    <mergeCell ref="E6:I24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Feuil5"/>
  <dimension ref="A1:L171"/>
  <sheetViews>
    <sheetView zoomScale="70" zoomScaleNormal="70" workbookViewId="0">
      <selection activeCell="E4" sqref="E4:E11"/>
    </sheetView>
  </sheetViews>
  <sheetFormatPr baseColWidth="10" defaultColWidth="11.44140625" defaultRowHeight="14.4" x14ac:dyDescent="0.3"/>
  <cols>
    <col min="1" max="1" width="33.44140625" style="29" customWidth="1"/>
    <col min="2" max="2" width="81.44140625" bestFit="1" customWidth="1"/>
    <col min="3" max="3" width="27.6640625" style="50" customWidth="1"/>
    <col min="4" max="4" width="35.88671875" bestFit="1" customWidth="1"/>
    <col min="5" max="5" width="13.44140625" style="3" bestFit="1" customWidth="1"/>
    <col min="6" max="6" width="34.44140625" style="1" bestFit="1" customWidth="1"/>
    <col min="7" max="7" width="36" bestFit="1" customWidth="1"/>
    <col min="8" max="8" width="20.109375" bestFit="1" customWidth="1"/>
    <col min="9" max="9" width="32.109375" bestFit="1" customWidth="1"/>
    <col min="10" max="10" width="45.109375" customWidth="1"/>
    <col min="11" max="11" width="45.109375" bestFit="1" customWidth="1"/>
    <col min="12" max="12" width="16" customWidth="1"/>
  </cols>
  <sheetData>
    <row r="1" spans="1:12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15</v>
      </c>
      <c r="K1" s="30" t="s">
        <v>16</v>
      </c>
      <c r="L1" s="30" t="s">
        <v>17</v>
      </c>
    </row>
    <row r="2" spans="1:12" x14ac:dyDescent="0.3">
      <c r="A2" s="31"/>
      <c r="B2" s="30"/>
      <c r="C2" s="49"/>
      <c r="D2" s="34"/>
      <c r="E2" s="33"/>
      <c r="F2" s="35"/>
      <c r="G2" s="34"/>
      <c r="H2" s="34"/>
      <c r="I2" s="34"/>
      <c r="J2" s="34"/>
      <c r="K2" s="34"/>
      <c r="L2" s="34"/>
    </row>
    <row r="3" spans="1:12" ht="15" customHeight="1" thickBot="1" x14ac:dyDescent="0.35"/>
    <row r="4" spans="1:12" ht="15.75" customHeight="1" x14ac:dyDescent="0.3">
      <c r="A4" s="1071" t="s">
        <v>433</v>
      </c>
      <c r="B4" s="1025" t="s">
        <v>59</v>
      </c>
      <c r="C4" s="1034" t="s">
        <v>414</v>
      </c>
      <c r="D4" s="125" t="s">
        <v>234</v>
      </c>
      <c r="E4" s="125">
        <f>SUM(E5:E11)</f>
        <v>0.79449999999999987</v>
      </c>
      <c r="F4" s="1043"/>
      <c r="G4" s="1007" t="s">
        <v>414</v>
      </c>
      <c r="H4" s="1007" t="s">
        <v>61</v>
      </c>
      <c r="I4" s="1007" t="s">
        <v>62</v>
      </c>
      <c r="J4" s="665"/>
      <c r="K4" s="1007">
        <v>364</v>
      </c>
      <c r="L4" s="1136" t="s">
        <v>30</v>
      </c>
    </row>
    <row r="5" spans="1:12" x14ac:dyDescent="0.3">
      <c r="A5" s="1113"/>
      <c r="B5" s="1026"/>
      <c r="C5" s="1035"/>
      <c r="D5" s="77" t="s">
        <v>47</v>
      </c>
      <c r="E5" s="71">
        <f>SUM(E15:E24)</f>
        <v>0.44249999999999995</v>
      </c>
      <c r="F5" s="985"/>
      <c r="G5" s="1008"/>
      <c r="H5" s="1008"/>
      <c r="I5" s="1008"/>
      <c r="J5" s="336"/>
      <c r="K5" s="1008"/>
      <c r="L5" s="1137"/>
    </row>
    <row r="6" spans="1:12" x14ac:dyDescent="0.3">
      <c r="A6" s="1113"/>
      <c r="B6" s="1026"/>
      <c r="C6" s="1035"/>
      <c r="D6" s="117" t="s">
        <v>252</v>
      </c>
      <c r="E6" s="117">
        <f>SUM(E25:E25)</f>
        <v>2.9000000000000001E-2</v>
      </c>
      <c r="F6" s="985"/>
      <c r="G6" s="1008"/>
      <c r="H6" s="1008"/>
      <c r="I6" s="1008"/>
      <c r="J6" s="336"/>
      <c r="K6" s="1008"/>
      <c r="L6" s="1137"/>
    </row>
    <row r="7" spans="1:12" x14ac:dyDescent="0.3">
      <c r="A7" s="1113"/>
      <c r="B7" s="1026"/>
      <c r="C7" s="1035"/>
      <c r="D7" s="168" t="s">
        <v>244</v>
      </c>
      <c r="E7" s="168">
        <f>SUM(E26)</f>
        <v>1E-3</v>
      </c>
      <c r="F7" s="985"/>
      <c r="G7" s="1008"/>
      <c r="H7" s="1008"/>
      <c r="I7" s="1008"/>
      <c r="J7" s="336"/>
      <c r="K7" s="1008"/>
      <c r="L7" s="1137"/>
    </row>
    <row r="8" spans="1:12" x14ac:dyDescent="0.3">
      <c r="A8" s="1113"/>
      <c r="B8" s="1026"/>
      <c r="C8" s="1035"/>
      <c r="D8" s="172" t="s">
        <v>253</v>
      </c>
      <c r="E8" s="172">
        <f>SUM(E27:E41)</f>
        <v>0.3165</v>
      </c>
      <c r="F8" s="985"/>
      <c r="G8" s="1008"/>
      <c r="H8" s="1008"/>
      <c r="I8" s="1008"/>
      <c r="J8" s="336"/>
      <c r="K8" s="1008"/>
      <c r="L8" s="1137"/>
    </row>
    <row r="9" spans="1:12" x14ac:dyDescent="0.3">
      <c r="A9" s="1113"/>
      <c r="B9" s="1026"/>
      <c r="C9" s="1035"/>
      <c r="D9" s="167" t="s">
        <v>248</v>
      </c>
      <c r="E9" s="395">
        <v>3.0000000000000001E-3</v>
      </c>
      <c r="F9" s="985"/>
      <c r="G9" s="1008"/>
      <c r="H9" s="1008"/>
      <c r="I9" s="1008"/>
      <c r="K9" s="1008"/>
      <c r="L9" s="1142"/>
    </row>
    <row r="10" spans="1:12" x14ac:dyDescent="0.3">
      <c r="A10" s="1113"/>
      <c r="B10" s="1026"/>
      <c r="C10" s="1035"/>
      <c r="D10" s="167" t="s">
        <v>240</v>
      </c>
      <c r="E10" s="167">
        <f>SUM(E43)</f>
        <v>5.0000000000000001E-4</v>
      </c>
      <c r="F10" s="985"/>
      <c r="G10" s="1008"/>
      <c r="H10" s="1008"/>
      <c r="I10" s="1008"/>
      <c r="K10" s="1008"/>
      <c r="L10" s="1142"/>
    </row>
    <row r="11" spans="1:12" x14ac:dyDescent="0.3">
      <c r="A11" s="1113"/>
      <c r="B11" s="1026"/>
      <c r="C11" s="1035"/>
      <c r="D11" s="386" t="s">
        <v>261</v>
      </c>
      <c r="E11" s="386">
        <f>SUM(E44)</f>
        <v>2E-3</v>
      </c>
      <c r="F11" s="985"/>
      <c r="G11" s="1008"/>
      <c r="H11" s="1008"/>
      <c r="I11" s="1008"/>
      <c r="K11" s="1008"/>
      <c r="L11" s="1142"/>
    </row>
    <row r="12" spans="1:12" ht="15" thickBot="1" x14ac:dyDescent="0.35">
      <c r="A12" s="1072"/>
      <c r="B12" s="1027"/>
      <c r="C12" s="1036"/>
      <c r="D12" s="80"/>
      <c r="E12" s="53"/>
      <c r="F12" s="1044"/>
      <c r="G12" s="1009"/>
      <c r="H12" s="1009"/>
      <c r="I12" s="1009"/>
      <c r="K12" s="1009"/>
      <c r="L12" s="1138"/>
    </row>
    <row r="13" spans="1:12" ht="15" thickBot="1" x14ac:dyDescent="0.35">
      <c r="A13"/>
      <c r="C13" s="3"/>
      <c r="E13" s="1"/>
      <c r="F13"/>
      <c r="J13" s="128"/>
    </row>
    <row r="14" spans="1:12" x14ac:dyDescent="0.3">
      <c r="A14" s="1124" t="s">
        <v>300</v>
      </c>
      <c r="B14" s="83" t="s">
        <v>59</v>
      </c>
      <c r="C14" s="44"/>
      <c r="D14" s="90" t="s">
        <v>532</v>
      </c>
      <c r="E14" s="95">
        <f>SUM(E15:E44)</f>
        <v>0.79449999999999987</v>
      </c>
      <c r="F14" s="5"/>
      <c r="G14" s="38"/>
      <c r="H14" s="5"/>
      <c r="I14" s="5"/>
      <c r="K14" s="5"/>
      <c r="L14" s="6"/>
    </row>
    <row r="15" spans="1:12" x14ac:dyDescent="0.3">
      <c r="A15" s="1125"/>
      <c r="B15" s="126" t="s">
        <v>690</v>
      </c>
      <c r="C15" s="69"/>
      <c r="D15" s="1093" t="s">
        <v>47</v>
      </c>
      <c r="E15" s="279">
        <v>7.3999999999999996E-2</v>
      </c>
      <c r="F15" s="3"/>
      <c r="G15" s="3"/>
      <c r="L15" s="8"/>
    </row>
    <row r="16" spans="1:12" x14ac:dyDescent="0.3">
      <c r="A16" s="1125"/>
      <c r="B16" s="126" t="s">
        <v>691</v>
      </c>
      <c r="C16" s="69"/>
      <c r="D16" s="1093"/>
      <c r="E16" s="279">
        <v>0.14599999999999999</v>
      </c>
      <c r="F16" s="3"/>
      <c r="G16" s="3"/>
      <c r="L16" s="8"/>
    </row>
    <row r="17" spans="1:12" x14ac:dyDescent="0.3">
      <c r="A17" s="1125"/>
      <c r="B17" s="126" t="s">
        <v>692</v>
      </c>
      <c r="C17" s="69"/>
      <c r="D17" s="1093"/>
      <c r="E17" s="279">
        <v>0.11</v>
      </c>
      <c r="F17" s="3"/>
      <c r="G17" s="3"/>
      <c r="L17" s="8"/>
    </row>
    <row r="18" spans="1:12" x14ac:dyDescent="0.3">
      <c r="A18" s="1125"/>
      <c r="B18" s="126" t="s">
        <v>693</v>
      </c>
      <c r="C18" s="69"/>
      <c r="D18" s="1093"/>
      <c r="E18" s="279">
        <v>3.6999999999999998E-2</v>
      </c>
      <c r="F18" s="3"/>
      <c r="G18" s="3"/>
      <c r="L18" s="8"/>
    </row>
    <row r="19" spans="1:12" x14ac:dyDescent="0.3">
      <c r="A19" s="1125"/>
      <c r="B19" s="126" t="s">
        <v>694</v>
      </c>
      <c r="C19" s="69"/>
      <c r="D19" s="1093"/>
      <c r="E19" s="279">
        <v>6.3E-2</v>
      </c>
      <c r="F19" s="3"/>
      <c r="G19" s="3"/>
      <c r="L19" s="8"/>
    </row>
    <row r="20" spans="1:12" x14ac:dyDescent="0.3">
      <c r="A20" s="1125"/>
      <c r="B20" s="102" t="s">
        <v>685</v>
      </c>
      <c r="C20" s="3"/>
      <c r="D20" s="1093"/>
      <c r="E20" s="279">
        <v>8.0000000000000002E-3</v>
      </c>
      <c r="F20"/>
      <c r="L20" s="8"/>
    </row>
    <row r="21" spans="1:12" x14ac:dyDescent="0.3">
      <c r="A21" s="1125"/>
      <c r="B21" s="102" t="s">
        <v>665</v>
      </c>
      <c r="C21"/>
      <c r="D21" s="1093"/>
      <c r="E21" s="279">
        <v>5.0000000000000001E-4</v>
      </c>
      <c r="F21"/>
      <c r="L21" s="8"/>
    </row>
    <row r="22" spans="1:12" x14ac:dyDescent="0.3">
      <c r="A22" s="1125"/>
      <c r="B22" s="102" t="s">
        <v>695</v>
      </c>
      <c r="C22"/>
      <c r="D22" s="1093"/>
      <c r="E22" s="279">
        <v>5.0000000000000001E-4</v>
      </c>
      <c r="F22"/>
      <c r="L22" s="8"/>
    </row>
    <row r="23" spans="1:12" x14ac:dyDescent="0.3">
      <c r="A23" s="1125"/>
      <c r="B23" s="102" t="s">
        <v>696</v>
      </c>
      <c r="C23"/>
      <c r="D23" s="1093"/>
      <c r="E23" s="279">
        <v>3.0000000000000001E-3</v>
      </c>
      <c r="F23"/>
      <c r="L23" s="8"/>
    </row>
    <row r="24" spans="1:12" x14ac:dyDescent="0.3">
      <c r="A24" s="1125"/>
      <c r="B24" s="102" t="s">
        <v>697</v>
      </c>
      <c r="C24"/>
      <c r="D24" s="1093"/>
      <c r="E24" s="279">
        <v>5.0000000000000001E-4</v>
      </c>
      <c r="F24"/>
      <c r="L24" s="8"/>
    </row>
    <row r="25" spans="1:12" x14ac:dyDescent="0.3">
      <c r="A25" s="1125"/>
      <c r="B25" s="84" t="s">
        <v>698</v>
      </c>
      <c r="C25" s="3"/>
      <c r="D25" s="117" t="s">
        <v>252</v>
      </c>
      <c r="E25" s="160">
        <v>2.9000000000000001E-2</v>
      </c>
      <c r="F25"/>
      <c r="L25" s="8"/>
    </row>
    <row r="26" spans="1:12" x14ac:dyDescent="0.3">
      <c r="A26" s="1125"/>
      <c r="B26" s="192" t="s">
        <v>699</v>
      </c>
      <c r="C26" s="3"/>
      <c r="D26" s="169" t="s">
        <v>244</v>
      </c>
      <c r="E26" s="248">
        <v>1E-3</v>
      </c>
      <c r="F26"/>
      <c r="L26" s="8"/>
    </row>
    <row r="27" spans="1:12" x14ac:dyDescent="0.3">
      <c r="A27" s="1125"/>
      <c r="B27" s="193" t="s">
        <v>700</v>
      </c>
      <c r="C27"/>
      <c r="D27" s="1096" t="s">
        <v>253</v>
      </c>
      <c r="E27" s="252">
        <v>5.2999999999999999E-2</v>
      </c>
      <c r="F27"/>
      <c r="L27" s="8"/>
    </row>
    <row r="28" spans="1:12" x14ac:dyDescent="0.3">
      <c r="A28" s="1125"/>
      <c r="B28" s="193" t="s">
        <v>701</v>
      </c>
      <c r="C28"/>
      <c r="D28" s="1096"/>
      <c r="E28" s="252">
        <v>9.9000000000000005E-2</v>
      </c>
      <c r="F28"/>
      <c r="L28" s="8"/>
    </row>
    <row r="29" spans="1:12" x14ac:dyDescent="0.3">
      <c r="A29" s="1125"/>
      <c r="B29" s="193" t="s">
        <v>702</v>
      </c>
      <c r="C29"/>
      <c r="D29" s="1096"/>
      <c r="E29" s="252">
        <v>5.0000000000000001E-4</v>
      </c>
      <c r="F29"/>
      <c r="L29" s="8"/>
    </row>
    <row r="30" spans="1:12" x14ac:dyDescent="0.3">
      <c r="A30" s="1125"/>
      <c r="B30" s="193" t="s">
        <v>703</v>
      </c>
      <c r="C30"/>
      <c r="D30" s="1096"/>
      <c r="E30" s="252">
        <v>3.0000000000000001E-3</v>
      </c>
      <c r="F30"/>
      <c r="L30" s="8"/>
    </row>
    <row r="31" spans="1:12" x14ac:dyDescent="0.3">
      <c r="A31" s="1125"/>
      <c r="B31" s="193" t="s">
        <v>704</v>
      </c>
      <c r="C31"/>
      <c r="D31" s="1096"/>
      <c r="E31" s="252">
        <v>1.6E-2</v>
      </c>
      <c r="F31"/>
      <c r="L31" s="8"/>
    </row>
    <row r="32" spans="1:12" x14ac:dyDescent="0.3">
      <c r="A32" s="1125"/>
      <c r="B32" s="193" t="s">
        <v>705</v>
      </c>
      <c r="C32"/>
      <c r="D32" s="1096"/>
      <c r="E32" s="252">
        <v>2E-3</v>
      </c>
      <c r="F32"/>
      <c r="L32" s="8"/>
    </row>
    <row r="33" spans="1:12" x14ac:dyDescent="0.3">
      <c r="A33" s="1125"/>
      <c r="B33" s="193" t="s">
        <v>706</v>
      </c>
      <c r="C33"/>
      <c r="D33" s="1096"/>
      <c r="E33" s="252">
        <v>4.0000000000000001E-3</v>
      </c>
      <c r="F33"/>
      <c r="L33" s="8"/>
    </row>
    <row r="34" spans="1:12" x14ac:dyDescent="0.3">
      <c r="A34" s="1125"/>
      <c r="B34" s="193" t="s">
        <v>707</v>
      </c>
      <c r="C34"/>
      <c r="D34" s="1096"/>
      <c r="E34" s="252">
        <v>3.0000000000000001E-3</v>
      </c>
      <c r="F34"/>
      <c r="L34" s="8"/>
    </row>
    <row r="35" spans="1:12" x14ac:dyDescent="0.3">
      <c r="A35" s="1125"/>
      <c r="B35" s="193" t="s">
        <v>708</v>
      </c>
      <c r="C35"/>
      <c r="D35" s="1096"/>
      <c r="E35" s="252">
        <v>1E-3</v>
      </c>
      <c r="F35"/>
      <c r="L35" s="8"/>
    </row>
    <row r="36" spans="1:12" x14ac:dyDescent="0.3">
      <c r="A36" s="1125"/>
      <c r="B36" s="193" t="s">
        <v>644</v>
      </c>
      <c r="C36"/>
      <c r="D36" s="1096"/>
      <c r="E36" s="252">
        <v>4.0000000000000001E-3</v>
      </c>
      <c r="F36"/>
      <c r="L36" s="8"/>
    </row>
    <row r="37" spans="1:12" x14ac:dyDescent="0.3">
      <c r="A37" s="1125"/>
      <c r="B37" s="193" t="s">
        <v>709</v>
      </c>
      <c r="C37"/>
      <c r="D37" s="1096"/>
      <c r="E37" s="252">
        <v>4.0000000000000001E-3</v>
      </c>
      <c r="F37"/>
      <c r="L37" s="8"/>
    </row>
    <row r="38" spans="1:12" x14ac:dyDescent="0.3">
      <c r="A38" s="1125"/>
      <c r="B38" s="193" t="s">
        <v>710</v>
      </c>
      <c r="C38"/>
      <c r="D38" s="1096"/>
      <c r="E38" s="252">
        <v>5.0000000000000001E-3</v>
      </c>
      <c r="F38"/>
      <c r="L38" s="8"/>
    </row>
    <row r="39" spans="1:12" x14ac:dyDescent="0.3">
      <c r="A39" s="1125"/>
      <c r="B39" s="193" t="s">
        <v>711</v>
      </c>
      <c r="C39"/>
      <c r="D39" s="1096"/>
      <c r="E39" s="252">
        <v>2E-3</v>
      </c>
      <c r="F39"/>
      <c r="L39" s="8"/>
    </row>
    <row r="40" spans="1:12" x14ac:dyDescent="0.3">
      <c r="A40" s="1125"/>
      <c r="B40" s="193" t="s">
        <v>712</v>
      </c>
      <c r="C40"/>
      <c r="D40" s="1096"/>
      <c r="E40" s="252">
        <v>2E-3</v>
      </c>
      <c r="F40"/>
      <c r="L40" s="8"/>
    </row>
    <row r="41" spans="1:12" x14ac:dyDescent="0.3">
      <c r="A41" s="1125"/>
      <c r="B41" s="193" t="s">
        <v>713</v>
      </c>
      <c r="C41"/>
      <c r="D41" s="1096"/>
      <c r="E41" s="252">
        <v>0.11799999999999999</v>
      </c>
      <c r="F41"/>
      <c r="L41" s="8"/>
    </row>
    <row r="42" spans="1:12" x14ac:dyDescent="0.3">
      <c r="A42" s="1125"/>
      <c r="B42" s="189" t="s">
        <v>558</v>
      </c>
      <c r="C42"/>
      <c r="D42" s="167" t="s">
        <v>248</v>
      </c>
      <c r="E42" s="394">
        <v>3.0000000000000001E-3</v>
      </c>
      <c r="F42"/>
      <c r="L42" s="8"/>
    </row>
    <row r="43" spans="1:12" x14ac:dyDescent="0.3">
      <c r="A43" s="1125"/>
      <c r="B43" s="324" t="s">
        <v>714</v>
      </c>
      <c r="C43"/>
      <c r="D43" s="167" t="s">
        <v>240</v>
      </c>
      <c r="E43" s="389">
        <v>5.0000000000000001E-4</v>
      </c>
      <c r="F43"/>
      <c r="L43" s="8"/>
    </row>
    <row r="44" spans="1:12" x14ac:dyDescent="0.3">
      <c r="A44" s="1125"/>
      <c r="B44" s="385" t="s">
        <v>715</v>
      </c>
      <c r="C44"/>
      <c r="D44" s="386" t="s">
        <v>261</v>
      </c>
      <c r="E44" s="387">
        <v>2E-3</v>
      </c>
      <c r="F44"/>
      <c r="L44" s="8"/>
    </row>
    <row r="45" spans="1:12" ht="15" thickBot="1" x14ac:dyDescent="0.35">
      <c r="A45" s="1126"/>
      <c r="B45" s="91"/>
      <c r="C45" s="41"/>
      <c r="D45" s="91"/>
      <c r="E45" s="75"/>
      <c r="F45" s="9"/>
      <c r="G45" s="9"/>
      <c r="H45" s="9"/>
      <c r="I45" s="9"/>
      <c r="K45" s="9"/>
      <c r="L45" s="10"/>
    </row>
    <row r="46" spans="1:12" x14ac:dyDescent="0.3">
      <c r="A46"/>
      <c r="C46"/>
      <c r="E46"/>
      <c r="F46"/>
      <c r="J46" s="5"/>
    </row>
    <row r="47" spans="1:12" x14ac:dyDescent="0.3">
      <c r="A47"/>
      <c r="C47"/>
      <c r="E47"/>
      <c r="F47"/>
    </row>
    <row r="48" spans="1:12" x14ac:dyDescent="0.3">
      <c r="A48"/>
      <c r="B48" s="36"/>
      <c r="C48"/>
      <c r="E48"/>
      <c r="F48"/>
    </row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ht="15" customHeight="1" x14ac:dyDescent="0.3"/>
    <row r="65" spans="1:10" x14ac:dyDescent="0.3">
      <c r="A65"/>
      <c r="C65"/>
      <c r="E65"/>
      <c r="F65"/>
    </row>
    <row r="66" spans="1:10" x14ac:dyDescent="0.3">
      <c r="A66"/>
      <c r="C66"/>
      <c r="E66"/>
      <c r="F66"/>
    </row>
    <row r="67" spans="1:10" x14ac:dyDescent="0.3">
      <c r="A67"/>
      <c r="C67"/>
      <c r="E67"/>
      <c r="F67"/>
    </row>
    <row r="68" spans="1:10" x14ac:dyDescent="0.3">
      <c r="A68"/>
      <c r="C68"/>
      <c r="E68"/>
      <c r="F68"/>
    </row>
    <row r="69" spans="1:10" x14ac:dyDescent="0.3">
      <c r="A69"/>
      <c r="C69"/>
      <c r="E69"/>
      <c r="F69"/>
    </row>
    <row r="70" spans="1:10" x14ac:dyDescent="0.3">
      <c r="A70"/>
      <c r="C70"/>
      <c r="E70"/>
      <c r="F70"/>
    </row>
    <row r="71" spans="1:10" x14ac:dyDescent="0.3">
      <c r="A71"/>
      <c r="C71"/>
      <c r="E71"/>
      <c r="F71"/>
    </row>
    <row r="72" spans="1:10" x14ac:dyDescent="0.3">
      <c r="A72"/>
      <c r="C72"/>
      <c r="E72"/>
      <c r="F72"/>
    </row>
    <row r="73" spans="1:10" ht="15" thickBot="1" x14ac:dyDescent="0.35">
      <c r="A73"/>
      <c r="C73"/>
      <c r="E73"/>
      <c r="F73"/>
      <c r="J73" s="9"/>
    </row>
    <row r="74" spans="1:10" x14ac:dyDescent="0.3">
      <c r="A74"/>
      <c r="C74"/>
      <c r="E74"/>
      <c r="F74"/>
    </row>
    <row r="75" spans="1:10" ht="15" thickBot="1" x14ac:dyDescent="0.35">
      <c r="A75"/>
      <c r="C75"/>
      <c r="E75"/>
      <c r="F75"/>
    </row>
    <row r="76" spans="1:10" x14ac:dyDescent="0.3">
      <c r="A76"/>
      <c r="C76"/>
      <c r="E76"/>
      <c r="F76"/>
      <c r="J76" s="5"/>
    </row>
    <row r="77" spans="1:10" x14ac:dyDescent="0.3">
      <c r="A77"/>
      <c r="C77"/>
      <c r="E77"/>
      <c r="F77"/>
    </row>
    <row r="78" spans="1:10" x14ac:dyDescent="0.3">
      <c r="A78"/>
      <c r="C78"/>
      <c r="E78"/>
      <c r="F78"/>
    </row>
    <row r="79" spans="1:10" x14ac:dyDescent="0.3">
      <c r="A79"/>
      <c r="C79"/>
      <c r="E79"/>
      <c r="F79"/>
    </row>
    <row r="80" spans="1:10" x14ac:dyDescent="0.3">
      <c r="A80"/>
      <c r="C80"/>
      <c r="E80"/>
      <c r="F80"/>
    </row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ht="15" customHeight="1" x14ac:dyDescent="0.3"/>
    <row r="93" customFormat="1" x14ac:dyDescent="0.3"/>
    <row r="94" customFormat="1" x14ac:dyDescent="0.3"/>
    <row r="95" customFormat="1" x14ac:dyDescent="0.3"/>
    <row r="96" customFormat="1" ht="15" customHeight="1" x14ac:dyDescent="0.3"/>
    <row r="97" spans="1:10" x14ac:dyDescent="0.3">
      <c r="A97"/>
      <c r="C97"/>
      <c r="E97"/>
      <c r="F97"/>
    </row>
    <row r="98" spans="1:10" x14ac:dyDescent="0.3">
      <c r="A98"/>
      <c r="C98"/>
      <c r="E98"/>
      <c r="F98"/>
    </row>
    <row r="99" spans="1:10" ht="15" customHeight="1" x14ac:dyDescent="0.3">
      <c r="A99"/>
      <c r="C99"/>
      <c r="E99"/>
      <c r="F99"/>
    </row>
    <row r="100" spans="1:10" x14ac:dyDescent="0.3">
      <c r="A100"/>
      <c r="C100"/>
      <c r="E100"/>
      <c r="F100"/>
    </row>
    <row r="101" spans="1:10" x14ac:dyDescent="0.3">
      <c r="A101"/>
      <c r="C101"/>
      <c r="E101"/>
      <c r="F101"/>
    </row>
    <row r="102" spans="1:10" x14ac:dyDescent="0.3">
      <c r="A102"/>
      <c r="C102"/>
      <c r="E102"/>
      <c r="F102"/>
    </row>
    <row r="103" spans="1:10" x14ac:dyDescent="0.3">
      <c r="A103"/>
      <c r="C103"/>
      <c r="E103"/>
      <c r="F103"/>
    </row>
    <row r="104" spans="1:10" x14ac:dyDescent="0.3">
      <c r="A104"/>
      <c r="C104"/>
      <c r="E104"/>
      <c r="F104"/>
    </row>
    <row r="105" spans="1:10" ht="15" thickBot="1" x14ac:dyDescent="0.35">
      <c r="J105" s="9"/>
    </row>
    <row r="107" spans="1:10" ht="15" thickBot="1" x14ac:dyDescent="0.35"/>
    <row r="108" spans="1:10" x14ac:dyDescent="0.3">
      <c r="J108" s="5"/>
    </row>
    <row r="111" spans="1:10" ht="15" thickBot="1" x14ac:dyDescent="0.35">
      <c r="J111" s="9"/>
    </row>
    <row r="113" spans="10:10" ht="15" thickBot="1" x14ac:dyDescent="0.35"/>
    <row r="114" spans="10:10" x14ac:dyDescent="0.3">
      <c r="J114" s="5"/>
    </row>
    <row r="128" spans="10:10" ht="15" thickBot="1" x14ac:dyDescent="0.35">
      <c r="J128" s="9"/>
    </row>
    <row r="130" spans="10:10" ht="15" thickBot="1" x14ac:dyDescent="0.35"/>
    <row r="131" spans="10:10" x14ac:dyDescent="0.3">
      <c r="J131" s="5"/>
    </row>
    <row r="147" spans="10:10" ht="15" thickBot="1" x14ac:dyDescent="0.35">
      <c r="J147" s="9"/>
    </row>
    <row r="149" spans="10:10" ht="15" thickBot="1" x14ac:dyDescent="0.35"/>
    <row r="150" spans="10:10" x14ac:dyDescent="0.3">
      <c r="J150" s="5"/>
    </row>
    <row r="166" spans="10:10" ht="15" thickBot="1" x14ac:dyDescent="0.35"/>
    <row r="167" spans="10:10" x14ac:dyDescent="0.3">
      <c r="J167" s="5"/>
    </row>
    <row r="168" spans="10:10" ht="15" thickBot="1" x14ac:dyDescent="0.35">
      <c r="J168" s="9"/>
    </row>
    <row r="170" spans="10:10" ht="15" thickBot="1" x14ac:dyDescent="0.35"/>
    <row r="171" spans="10:10" ht="15" thickBot="1" x14ac:dyDescent="0.35">
      <c r="J171" s="55"/>
    </row>
  </sheetData>
  <mergeCells count="12">
    <mergeCell ref="A14:A45"/>
    <mergeCell ref="D15:D24"/>
    <mergeCell ref="D27:D41"/>
    <mergeCell ref="I4:I12"/>
    <mergeCell ref="C4:C12"/>
    <mergeCell ref="K4:K12"/>
    <mergeCell ref="L4:L12"/>
    <mergeCell ref="A4:A12"/>
    <mergeCell ref="B4:B12"/>
    <mergeCell ref="F4:F12"/>
    <mergeCell ref="G4:G12"/>
    <mergeCell ref="H4:H12"/>
  </mergeCells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Feuil6"/>
  <dimension ref="A1:P241"/>
  <sheetViews>
    <sheetView topLeftCell="C1" zoomScale="70" zoomScaleNormal="70" workbookViewId="0">
      <selection activeCell="F38" sqref="F38"/>
    </sheetView>
  </sheetViews>
  <sheetFormatPr baseColWidth="10" defaultColWidth="11.44140625" defaultRowHeight="14.4" x14ac:dyDescent="0.3"/>
  <cols>
    <col min="1" max="1" width="33.44140625" style="29" customWidth="1"/>
    <col min="2" max="2" width="93.44140625" bestFit="1" customWidth="1"/>
    <col min="3" max="3" width="27.6640625" style="50" customWidth="1"/>
    <col min="4" max="4" width="35.88671875" bestFit="1" customWidth="1"/>
    <col min="5" max="5" width="13.44140625" style="3" bestFit="1" customWidth="1"/>
    <col min="6" max="6" width="26" style="1" bestFit="1" customWidth="1"/>
    <col min="7" max="7" width="21.6640625" style="3" bestFit="1" customWidth="1"/>
    <col min="8" max="8" width="16.88671875" style="3" bestFit="1" customWidth="1"/>
    <col min="9" max="9" width="12" style="3" bestFit="1" customWidth="1"/>
    <col min="10" max="10" width="30.109375" style="3" bestFit="1" customWidth="1"/>
    <col min="11" max="11" width="33.109375" bestFit="1" customWidth="1"/>
    <col min="12" max="13" width="35.33203125" bestFit="1" customWidth="1"/>
    <col min="14" max="14" width="25.33203125" bestFit="1" customWidth="1"/>
    <col min="15" max="15" width="40.6640625" bestFit="1" customWidth="1"/>
    <col min="16" max="16" width="14.88671875" bestFit="1" customWidth="1"/>
  </cols>
  <sheetData>
    <row r="1" spans="1:16" ht="39.9" customHeight="1" thickBot="1" x14ac:dyDescent="0.35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660" t="s">
        <v>529</v>
      </c>
      <c r="G1" s="1143" t="s">
        <v>530</v>
      </c>
      <c r="H1" s="1091"/>
      <c r="I1" s="1091"/>
      <c r="J1" s="1144"/>
      <c r="K1" s="30" t="s">
        <v>11</v>
      </c>
      <c r="L1" s="30" t="s">
        <v>12</v>
      </c>
      <c r="M1" s="30" t="s">
        <v>13</v>
      </c>
      <c r="N1" s="30" t="s">
        <v>15</v>
      </c>
      <c r="O1" s="30" t="s">
        <v>16</v>
      </c>
      <c r="P1" s="30" t="s">
        <v>17</v>
      </c>
    </row>
    <row r="2" spans="1:16" ht="15" thickBot="1" x14ac:dyDescent="0.35">
      <c r="A2" s="31"/>
      <c r="B2" s="30"/>
      <c r="C2" s="49"/>
      <c r="D2" s="34"/>
      <c r="E2" s="33"/>
      <c r="F2" s="720" t="s">
        <v>402</v>
      </c>
      <c r="G2" s="731" t="s">
        <v>530</v>
      </c>
      <c r="H2" s="708" t="s">
        <v>404</v>
      </c>
      <c r="I2" s="731" t="s">
        <v>406</v>
      </c>
      <c r="J2" s="709" t="s">
        <v>407</v>
      </c>
      <c r="K2" s="34"/>
      <c r="L2" s="34"/>
      <c r="M2" s="34"/>
      <c r="N2" s="34"/>
      <c r="O2" s="34"/>
    </row>
    <row r="3" spans="1:16" ht="15.75" customHeight="1" thickBot="1" x14ac:dyDescent="0.35">
      <c r="A3" s="1071" t="s">
        <v>63</v>
      </c>
      <c r="B3" s="1025" t="s">
        <v>64</v>
      </c>
      <c r="C3" s="1045" t="s">
        <v>414</v>
      </c>
      <c r="D3" s="125" t="s">
        <v>234</v>
      </c>
      <c r="E3" s="125">
        <f>SUM(E4:E10)</f>
        <v>5.4689999999999994</v>
      </c>
      <c r="F3" s="141">
        <f>SUM(F4:F5)</f>
        <v>49.039000000000001</v>
      </c>
      <c r="G3" s="141"/>
      <c r="H3" s="141">
        <f>SUM(H4:H5)</f>
        <v>52.484000000000002</v>
      </c>
      <c r="I3" s="141">
        <f>SUM(I4:I5)</f>
        <v>0.42399999999999999</v>
      </c>
      <c r="J3" s="141"/>
      <c r="K3" s="1087" t="s">
        <v>414</v>
      </c>
      <c r="L3" s="1028" t="s">
        <v>66</v>
      </c>
      <c r="M3" s="1007" t="s">
        <v>67</v>
      </c>
      <c r="N3" s="663"/>
      <c r="O3" s="1016">
        <v>295</v>
      </c>
      <c r="P3" s="1007" t="s">
        <v>30</v>
      </c>
    </row>
    <row r="4" spans="1:16" ht="15" thickBot="1" x14ac:dyDescent="0.35">
      <c r="A4" s="1113"/>
      <c r="B4" s="1026"/>
      <c r="C4" s="1046"/>
      <c r="D4" s="77" t="s">
        <v>47</v>
      </c>
      <c r="E4" s="71">
        <f>SUM(E14:E16)</f>
        <v>3.5230000000000001</v>
      </c>
      <c r="F4" s="727">
        <f>SUM(F14)</f>
        <v>48.99</v>
      </c>
      <c r="G4" s="727"/>
      <c r="H4" s="727">
        <f>SUM(H14)</f>
        <v>52.350999999999999</v>
      </c>
      <c r="I4" s="727">
        <f>SUM(I14)</f>
        <v>0.42</v>
      </c>
      <c r="J4" s="727" t="s">
        <v>51</v>
      </c>
      <c r="K4" s="1066"/>
      <c r="L4" s="1029"/>
      <c r="M4" s="1008"/>
      <c r="N4" s="662"/>
      <c r="O4" s="1017"/>
      <c r="P4" s="1008"/>
    </row>
    <row r="5" spans="1:16" ht="15" thickBot="1" x14ac:dyDescent="0.35">
      <c r="A5" s="1113"/>
      <c r="B5" s="1026"/>
      <c r="C5" s="1046"/>
      <c r="D5" s="117" t="s">
        <v>252</v>
      </c>
      <c r="E5" s="117">
        <f>SUM(E17:E17)</f>
        <v>8.4000000000000005E-2</v>
      </c>
      <c r="F5" s="730">
        <f>SUM(F17)</f>
        <v>4.9000000000000002E-2</v>
      </c>
      <c r="G5" s="730"/>
      <c r="H5" s="730">
        <f>SUM(H17)</f>
        <v>0.13300000000000001</v>
      </c>
      <c r="I5" s="730">
        <f>SUM(I17)</f>
        <v>4.0000000000000001E-3</v>
      </c>
      <c r="J5" s="730" t="s">
        <v>51</v>
      </c>
      <c r="K5" s="1066"/>
      <c r="L5" s="1029"/>
      <c r="M5" s="1008"/>
      <c r="N5" s="662"/>
      <c r="O5" s="1017"/>
      <c r="P5" s="1008"/>
    </row>
    <row r="6" spans="1:16" x14ac:dyDescent="0.3">
      <c r="A6" s="1113"/>
      <c r="B6" s="1026"/>
      <c r="C6" s="1046"/>
      <c r="D6" s="168" t="s">
        <v>244</v>
      </c>
      <c r="E6" s="168">
        <f>SUM(E18:E20)</f>
        <v>1.2E-2</v>
      </c>
      <c r="F6" s="714"/>
      <c r="G6" s="357"/>
      <c r="H6" s="299"/>
      <c r="I6" s="357"/>
      <c r="J6" s="391"/>
      <c r="K6" s="1066"/>
      <c r="L6" s="1029"/>
      <c r="M6" s="1008"/>
      <c r="N6" s="662"/>
      <c r="O6" s="1017"/>
      <c r="P6" s="1008"/>
    </row>
    <row r="7" spans="1:16" x14ac:dyDescent="0.3">
      <c r="A7" s="1113"/>
      <c r="B7" s="1026"/>
      <c r="C7" s="1046"/>
      <c r="D7" s="172" t="s">
        <v>253</v>
      </c>
      <c r="E7" s="172">
        <f>SUM(E21:E26)</f>
        <v>1.1329999999999998</v>
      </c>
      <c r="F7" s="714"/>
      <c r="G7" s="357"/>
      <c r="H7" s="299"/>
      <c r="I7" s="357"/>
      <c r="J7" s="391"/>
      <c r="K7" s="1066"/>
      <c r="L7" s="1029"/>
      <c r="M7" s="1008"/>
      <c r="N7" s="662"/>
      <c r="O7" s="1017"/>
      <c r="P7" s="1008"/>
    </row>
    <row r="8" spans="1:16" x14ac:dyDescent="0.3">
      <c r="A8" s="1113"/>
      <c r="B8" s="1026"/>
      <c r="C8" s="1046"/>
      <c r="D8" s="81" t="s">
        <v>248</v>
      </c>
      <c r="E8" s="82">
        <f>SUM(E27)</f>
        <v>2E-3</v>
      </c>
      <c r="F8" s="714"/>
      <c r="G8" s="357"/>
      <c r="H8" s="299"/>
      <c r="I8" s="357"/>
      <c r="J8" s="391"/>
      <c r="K8" s="1066"/>
      <c r="L8" s="1029"/>
      <c r="M8" s="1008"/>
      <c r="N8" s="662"/>
      <c r="O8" s="1145"/>
      <c r="P8" s="1008"/>
    </row>
    <row r="9" spans="1:16" x14ac:dyDescent="0.3">
      <c r="A9" s="1113"/>
      <c r="B9" s="1026"/>
      <c r="C9" s="1046"/>
      <c r="D9" s="79" t="s">
        <v>240</v>
      </c>
      <c r="E9" s="79">
        <f>SUM(E28:E30)</f>
        <v>0.71300000000000008</v>
      </c>
      <c r="F9" s="714"/>
      <c r="G9" s="357"/>
      <c r="H9" s="299"/>
      <c r="I9" s="357"/>
      <c r="J9" s="391"/>
      <c r="K9" s="1066"/>
      <c r="L9" s="1029"/>
      <c r="M9" s="1008"/>
      <c r="N9" s="662"/>
      <c r="O9" s="1145"/>
      <c r="P9" s="1008"/>
    </row>
    <row r="10" spans="1:16" x14ac:dyDescent="0.3">
      <c r="A10" s="1113"/>
      <c r="B10" s="1026"/>
      <c r="C10" s="1046"/>
      <c r="D10" s="386" t="s">
        <v>261</v>
      </c>
      <c r="E10" s="386">
        <f>SUM(E31)</f>
        <v>2E-3</v>
      </c>
      <c r="F10" s="714"/>
      <c r="G10" s="357"/>
      <c r="H10" s="299"/>
      <c r="I10" s="357"/>
      <c r="J10" s="391"/>
      <c r="K10" s="1066"/>
      <c r="L10" s="1029"/>
      <c r="M10" s="1008"/>
      <c r="N10" s="662"/>
      <c r="O10" s="1145"/>
      <c r="P10" s="1008"/>
    </row>
    <row r="11" spans="1:16" ht="15" thickBot="1" x14ac:dyDescent="0.35">
      <c r="A11" s="1072"/>
      <c r="B11" s="1027"/>
      <c r="C11" s="1047"/>
      <c r="D11" s="80"/>
      <c r="E11" s="53"/>
      <c r="F11" s="715"/>
      <c r="G11" s="451"/>
      <c r="H11" s="653"/>
      <c r="I11" s="451"/>
      <c r="J11" s="734"/>
      <c r="K11" s="1067"/>
      <c r="L11" s="1030"/>
      <c r="M11" s="1009"/>
      <c r="N11" s="91"/>
      <c r="O11" s="1018"/>
      <c r="P11" s="1009"/>
    </row>
    <row r="12" spans="1:16" ht="15" thickBot="1" x14ac:dyDescent="0.35">
      <c r="A12"/>
      <c r="C12" s="3"/>
      <c r="E12" s="1"/>
      <c r="F12"/>
      <c r="M12" s="128"/>
    </row>
    <row r="13" spans="1:16" ht="15" thickBot="1" x14ac:dyDescent="0.35">
      <c r="A13" s="1101" t="s">
        <v>63</v>
      </c>
      <c r="B13" s="83" t="s">
        <v>64</v>
      </c>
      <c r="C13" s="44"/>
      <c r="D13" s="90" t="s">
        <v>532</v>
      </c>
      <c r="E13" s="92">
        <f>SUM(E14:E31)</f>
        <v>5.4690000000000003</v>
      </c>
      <c r="F13" s="702" t="s">
        <v>402</v>
      </c>
      <c r="G13" s="702" t="s">
        <v>530</v>
      </c>
      <c r="H13" s="702" t="s">
        <v>404</v>
      </c>
      <c r="I13" s="702" t="s">
        <v>406</v>
      </c>
      <c r="J13" s="702" t="s">
        <v>407</v>
      </c>
      <c r="K13" s="5"/>
      <c r="L13" s="5"/>
      <c r="M13" s="5"/>
      <c r="N13" s="5"/>
      <c r="O13" s="6"/>
    </row>
    <row r="14" spans="1:16" ht="15" thickBot="1" x14ac:dyDescent="0.35">
      <c r="A14" s="1102"/>
      <c r="B14" s="126" t="s">
        <v>716</v>
      </c>
      <c r="C14" s="69"/>
      <c r="D14" s="1093" t="s">
        <v>47</v>
      </c>
      <c r="E14" s="166">
        <v>3.3610000000000002</v>
      </c>
      <c r="F14" s="727">
        <f>SUM(H14-E14)</f>
        <v>48.99</v>
      </c>
      <c r="G14" s="727" t="s">
        <v>717</v>
      </c>
      <c r="H14" s="728">
        <v>52.350999999999999</v>
      </c>
      <c r="I14" s="727">
        <v>0.42</v>
      </c>
      <c r="J14" s="727" t="s">
        <v>51</v>
      </c>
      <c r="O14" s="8"/>
    </row>
    <row r="15" spans="1:16" x14ac:dyDescent="0.3">
      <c r="A15" s="1102"/>
      <c r="B15" s="126" t="s">
        <v>718</v>
      </c>
      <c r="C15" s="69"/>
      <c r="D15" s="1093"/>
      <c r="E15" s="166">
        <v>9.6000000000000002E-2</v>
      </c>
      <c r="F15" s="3"/>
      <c r="O15" s="8"/>
    </row>
    <row r="16" spans="1:16" ht="15" thickBot="1" x14ac:dyDescent="0.35">
      <c r="A16" s="1102"/>
      <c r="B16" s="126" t="s">
        <v>719</v>
      </c>
      <c r="C16" s="69"/>
      <c r="D16" s="1093"/>
      <c r="E16" s="166">
        <v>6.6000000000000003E-2</v>
      </c>
      <c r="F16" s="3"/>
      <c r="O16" s="8"/>
    </row>
    <row r="17" spans="1:15" ht="15" thickBot="1" x14ac:dyDescent="0.35">
      <c r="A17" s="1102"/>
      <c r="B17" s="84" t="s">
        <v>720</v>
      </c>
      <c r="C17" s="3"/>
      <c r="D17" s="117" t="s">
        <v>252</v>
      </c>
      <c r="E17" s="521">
        <v>8.4000000000000005E-2</v>
      </c>
      <c r="F17" s="730">
        <f>SUM(H17-E17)</f>
        <v>4.9000000000000002E-2</v>
      </c>
      <c r="G17" s="730" t="s">
        <v>721</v>
      </c>
      <c r="H17" s="730">
        <v>0.13300000000000001</v>
      </c>
      <c r="I17" s="730">
        <v>4.0000000000000001E-3</v>
      </c>
      <c r="J17" s="729" t="s">
        <v>51</v>
      </c>
      <c r="O17" s="8"/>
    </row>
    <row r="18" spans="1:15" x14ac:dyDescent="0.3">
      <c r="A18" s="1102"/>
      <c r="B18" s="192" t="s">
        <v>722</v>
      </c>
      <c r="C18" s="3"/>
      <c r="D18" s="1098" t="s">
        <v>244</v>
      </c>
      <c r="E18" s="169">
        <v>7.0000000000000001E-3</v>
      </c>
      <c r="F18"/>
      <c r="O18" s="8"/>
    </row>
    <row r="19" spans="1:15" x14ac:dyDescent="0.3">
      <c r="A19" s="1102"/>
      <c r="B19" s="192" t="s">
        <v>723</v>
      </c>
      <c r="C19" s="3"/>
      <c r="D19" s="1098"/>
      <c r="E19" s="169">
        <v>2E-3</v>
      </c>
      <c r="F19"/>
      <c r="O19" s="8"/>
    </row>
    <row r="20" spans="1:15" x14ac:dyDescent="0.3">
      <c r="A20" s="1102"/>
      <c r="B20" s="192" t="s">
        <v>724</v>
      </c>
      <c r="C20" s="3"/>
      <c r="D20" s="1098"/>
      <c r="E20" s="169">
        <v>3.0000000000000001E-3</v>
      </c>
      <c r="F20"/>
      <c r="O20" s="8"/>
    </row>
    <row r="21" spans="1:15" x14ac:dyDescent="0.3">
      <c r="A21" s="1102"/>
      <c r="B21" s="193" t="s">
        <v>725</v>
      </c>
      <c r="C21"/>
      <c r="D21" s="1096" t="s">
        <v>253</v>
      </c>
      <c r="E21" s="174">
        <v>1.0980000000000001</v>
      </c>
      <c r="F21"/>
      <c r="O21" s="8"/>
    </row>
    <row r="22" spans="1:15" x14ac:dyDescent="0.3">
      <c r="A22" s="1102"/>
      <c r="B22" s="193" t="s">
        <v>726</v>
      </c>
      <c r="C22"/>
      <c r="D22" s="1096"/>
      <c r="E22" s="174">
        <v>1.4999999999999999E-2</v>
      </c>
      <c r="F22"/>
      <c r="O22" s="8"/>
    </row>
    <row r="23" spans="1:15" x14ac:dyDescent="0.3">
      <c r="A23" s="1102"/>
      <c r="B23" s="193" t="s">
        <v>727</v>
      </c>
      <c r="C23"/>
      <c r="D23" s="1096"/>
      <c r="E23" s="174">
        <v>1E-3</v>
      </c>
      <c r="F23"/>
      <c r="O23" s="8"/>
    </row>
    <row r="24" spans="1:15" x14ac:dyDescent="0.3">
      <c r="A24" s="1102"/>
      <c r="B24" s="193" t="s">
        <v>616</v>
      </c>
      <c r="C24"/>
      <c r="D24" s="1096"/>
      <c r="E24" s="174">
        <v>2E-3</v>
      </c>
      <c r="F24"/>
      <c r="O24" s="8"/>
    </row>
    <row r="25" spans="1:15" x14ac:dyDescent="0.3">
      <c r="A25" s="1102"/>
      <c r="B25" s="193" t="s">
        <v>728</v>
      </c>
      <c r="C25"/>
      <c r="D25" s="1096"/>
      <c r="E25" s="174">
        <v>8.9999999999999993E-3</v>
      </c>
      <c r="F25"/>
      <c r="O25" s="8"/>
    </row>
    <row r="26" spans="1:15" x14ac:dyDescent="0.3">
      <c r="A26" s="1102"/>
      <c r="B26" s="193" t="s">
        <v>729</v>
      </c>
      <c r="C26"/>
      <c r="D26" s="1096"/>
      <c r="E26" s="174">
        <v>8.0000000000000002E-3</v>
      </c>
      <c r="F26"/>
      <c r="O26" s="8"/>
    </row>
    <row r="27" spans="1:15" x14ac:dyDescent="0.3">
      <c r="A27" s="1102"/>
      <c r="B27" s="87" t="s">
        <v>730</v>
      </c>
      <c r="C27"/>
      <c r="D27" s="81" t="s">
        <v>248</v>
      </c>
      <c r="E27" s="82">
        <v>2E-3</v>
      </c>
      <c r="F27"/>
      <c r="O27" s="8"/>
    </row>
    <row r="28" spans="1:15" x14ac:dyDescent="0.3">
      <c r="A28" s="1102"/>
      <c r="B28" s="88" t="s">
        <v>731</v>
      </c>
      <c r="C28"/>
      <c r="D28" s="1146" t="s">
        <v>240</v>
      </c>
      <c r="E28" s="79">
        <v>0.45400000000000001</v>
      </c>
      <c r="F28"/>
      <c r="O28" s="8"/>
    </row>
    <row r="29" spans="1:15" x14ac:dyDescent="0.3">
      <c r="A29" s="1102"/>
      <c r="B29" s="88" t="s">
        <v>732</v>
      </c>
      <c r="C29"/>
      <c r="D29" s="1146"/>
      <c r="E29" s="79">
        <v>0.20300000000000001</v>
      </c>
      <c r="F29"/>
      <c r="O29" s="8"/>
    </row>
    <row r="30" spans="1:15" x14ac:dyDescent="0.3">
      <c r="A30" s="1102"/>
      <c r="B30" s="88" t="s">
        <v>733</v>
      </c>
      <c r="C30"/>
      <c r="D30" s="1146"/>
      <c r="E30" s="79">
        <v>5.6000000000000001E-2</v>
      </c>
      <c r="F30"/>
      <c r="O30" s="8"/>
    </row>
    <row r="31" spans="1:15" x14ac:dyDescent="0.3">
      <c r="A31" s="1102"/>
      <c r="B31" s="385" t="s">
        <v>715</v>
      </c>
      <c r="C31"/>
      <c r="D31" s="386" t="s">
        <v>261</v>
      </c>
      <c r="E31" s="386">
        <v>2E-3</v>
      </c>
      <c r="F31"/>
      <c r="O31" s="8"/>
    </row>
    <row r="32" spans="1:15" ht="15" thickBot="1" x14ac:dyDescent="0.35">
      <c r="A32" s="1103"/>
      <c r="B32" s="89"/>
      <c r="C32" s="9"/>
      <c r="D32" s="91"/>
      <c r="E32" s="91"/>
      <c r="F32" s="9"/>
      <c r="G32" s="11"/>
      <c r="H32" s="11"/>
      <c r="I32" s="11"/>
      <c r="J32" s="11"/>
      <c r="K32" s="9"/>
      <c r="L32" s="9"/>
      <c r="M32" s="9"/>
      <c r="N32" s="9"/>
      <c r="O32" s="10"/>
    </row>
    <row r="33" spans="1:6" x14ac:dyDescent="0.3">
      <c r="A33"/>
      <c r="C33"/>
      <c r="E33"/>
      <c r="F33"/>
    </row>
    <row r="34" spans="1:6" x14ac:dyDescent="0.3">
      <c r="A34"/>
      <c r="C34"/>
      <c r="E34"/>
      <c r="F34"/>
    </row>
    <row r="35" spans="1:6" x14ac:dyDescent="0.3">
      <c r="A35"/>
      <c r="C35"/>
      <c r="E35"/>
      <c r="F35"/>
    </row>
    <row r="36" spans="1:6" x14ac:dyDescent="0.3">
      <c r="A36"/>
      <c r="C36"/>
      <c r="E36"/>
      <c r="F36"/>
    </row>
    <row r="37" spans="1:6" x14ac:dyDescent="0.3">
      <c r="A37"/>
      <c r="C37"/>
      <c r="E37"/>
      <c r="F37"/>
    </row>
    <row r="38" spans="1:6" x14ac:dyDescent="0.3">
      <c r="A38"/>
      <c r="C38"/>
      <c r="E38"/>
      <c r="F38"/>
    </row>
    <row r="39" spans="1:6" x14ac:dyDescent="0.3">
      <c r="A39"/>
      <c r="C39"/>
      <c r="E39"/>
      <c r="F39"/>
    </row>
    <row r="40" spans="1:6" x14ac:dyDescent="0.3">
      <c r="A40"/>
      <c r="C40"/>
      <c r="E40"/>
      <c r="F40"/>
    </row>
    <row r="41" spans="1:6" x14ac:dyDescent="0.3">
      <c r="A41"/>
      <c r="C41"/>
      <c r="E41"/>
      <c r="F41"/>
    </row>
    <row r="42" spans="1:6" x14ac:dyDescent="0.3">
      <c r="A42"/>
      <c r="C42"/>
      <c r="E42"/>
      <c r="F42"/>
    </row>
    <row r="43" spans="1:6" x14ac:dyDescent="0.3">
      <c r="A43"/>
      <c r="C43"/>
      <c r="E43"/>
      <c r="F43"/>
    </row>
    <row r="44" spans="1:6" x14ac:dyDescent="0.3">
      <c r="A44"/>
      <c r="C44"/>
      <c r="E44"/>
      <c r="F44"/>
    </row>
    <row r="45" spans="1:6" x14ac:dyDescent="0.3">
      <c r="A45"/>
      <c r="C45"/>
      <c r="E45"/>
      <c r="F45"/>
    </row>
    <row r="46" spans="1:6" ht="15" customHeight="1" x14ac:dyDescent="0.3">
      <c r="A46"/>
      <c r="C46"/>
      <c r="E46"/>
      <c r="F46"/>
    </row>
    <row r="47" spans="1:6" x14ac:dyDescent="0.3">
      <c r="A47"/>
      <c r="C47"/>
      <c r="E47"/>
      <c r="F47"/>
    </row>
    <row r="48" spans="1:6" x14ac:dyDescent="0.3">
      <c r="A48"/>
      <c r="C48"/>
      <c r="E48"/>
      <c r="F48"/>
    </row>
    <row r="49" spans="1:6" x14ac:dyDescent="0.3">
      <c r="A49"/>
      <c r="C49"/>
      <c r="E49"/>
      <c r="F49"/>
    </row>
    <row r="50" spans="1:6" x14ac:dyDescent="0.3">
      <c r="A50"/>
      <c r="C50"/>
      <c r="E50"/>
      <c r="F50"/>
    </row>
    <row r="51" spans="1:6" x14ac:dyDescent="0.3">
      <c r="A51"/>
      <c r="C51"/>
      <c r="E51"/>
      <c r="F51"/>
    </row>
    <row r="52" spans="1:6" x14ac:dyDescent="0.3">
      <c r="A52"/>
      <c r="C52"/>
      <c r="E52"/>
      <c r="F52"/>
    </row>
    <row r="53" spans="1:6" x14ac:dyDescent="0.3">
      <c r="A53"/>
      <c r="C53"/>
      <c r="E53"/>
      <c r="F53"/>
    </row>
    <row r="54" spans="1:6" x14ac:dyDescent="0.3">
      <c r="A54"/>
      <c r="C54"/>
      <c r="E54"/>
      <c r="F54"/>
    </row>
    <row r="55" spans="1:6" x14ac:dyDescent="0.3">
      <c r="A55"/>
      <c r="C55"/>
      <c r="E55"/>
      <c r="F55"/>
    </row>
    <row r="56" spans="1:6" x14ac:dyDescent="0.3">
      <c r="A56"/>
      <c r="C56"/>
      <c r="E56"/>
      <c r="F56"/>
    </row>
    <row r="57" spans="1:6" x14ac:dyDescent="0.3">
      <c r="A57"/>
      <c r="C57"/>
      <c r="E57"/>
      <c r="F57"/>
    </row>
    <row r="58" spans="1:6" x14ac:dyDescent="0.3">
      <c r="A58"/>
      <c r="C58"/>
      <c r="E58"/>
      <c r="F58"/>
    </row>
    <row r="59" spans="1:6" x14ac:dyDescent="0.3">
      <c r="A59"/>
      <c r="C59"/>
      <c r="E59"/>
      <c r="F59"/>
    </row>
    <row r="60" spans="1:6" x14ac:dyDescent="0.3">
      <c r="A60"/>
      <c r="C60"/>
      <c r="E60"/>
      <c r="F60"/>
    </row>
    <row r="61" spans="1:6" x14ac:dyDescent="0.3">
      <c r="A61"/>
      <c r="C61"/>
      <c r="E61"/>
      <c r="F61"/>
    </row>
    <row r="62" spans="1:6" x14ac:dyDescent="0.3">
      <c r="A62"/>
      <c r="C62"/>
      <c r="E62"/>
      <c r="F62"/>
    </row>
    <row r="63" spans="1:6" x14ac:dyDescent="0.3">
      <c r="A63"/>
      <c r="C63"/>
      <c r="E63"/>
      <c r="F63"/>
    </row>
    <row r="64" spans="1:6" x14ac:dyDescent="0.3">
      <c r="A64"/>
      <c r="C64"/>
      <c r="E64"/>
      <c r="F64"/>
    </row>
    <row r="65" spans="1:6" x14ac:dyDescent="0.3">
      <c r="A65"/>
      <c r="C65"/>
      <c r="E65"/>
      <c r="F65"/>
    </row>
    <row r="66" spans="1:6" x14ac:dyDescent="0.3">
      <c r="A66"/>
      <c r="C66"/>
      <c r="E66"/>
      <c r="F66"/>
    </row>
    <row r="67" spans="1:6" x14ac:dyDescent="0.3">
      <c r="A67"/>
      <c r="C67"/>
      <c r="E67"/>
      <c r="F67"/>
    </row>
    <row r="68" spans="1:6" x14ac:dyDescent="0.3">
      <c r="A68"/>
      <c r="C68"/>
      <c r="E68"/>
      <c r="F68"/>
    </row>
    <row r="69" spans="1:6" x14ac:dyDescent="0.3">
      <c r="A69"/>
      <c r="C69"/>
      <c r="E69"/>
      <c r="F69"/>
    </row>
    <row r="70" spans="1:6" x14ac:dyDescent="0.3">
      <c r="A70"/>
      <c r="C70"/>
      <c r="E70"/>
      <c r="F70"/>
    </row>
    <row r="71" spans="1:6" x14ac:dyDescent="0.3">
      <c r="A71"/>
      <c r="C71"/>
      <c r="E71"/>
      <c r="F71"/>
    </row>
    <row r="72" spans="1:6" x14ac:dyDescent="0.3">
      <c r="A72"/>
      <c r="C72"/>
      <c r="E72"/>
      <c r="F72"/>
    </row>
    <row r="73" spans="1:6" x14ac:dyDescent="0.3">
      <c r="A73"/>
      <c r="C73"/>
      <c r="E73"/>
      <c r="F73"/>
    </row>
    <row r="74" spans="1:6" ht="15" customHeight="1" x14ac:dyDescent="0.3">
      <c r="A74"/>
      <c r="C74"/>
      <c r="E74"/>
      <c r="F74"/>
    </row>
    <row r="75" spans="1:6" x14ac:dyDescent="0.3">
      <c r="A75"/>
      <c r="C75"/>
      <c r="E75"/>
      <c r="F75"/>
    </row>
    <row r="76" spans="1:6" x14ac:dyDescent="0.3">
      <c r="A76"/>
      <c r="C76"/>
      <c r="E76"/>
      <c r="F76"/>
    </row>
    <row r="77" spans="1:6" x14ac:dyDescent="0.3">
      <c r="A77"/>
      <c r="C77"/>
      <c r="E77"/>
      <c r="F77"/>
    </row>
    <row r="78" spans="1:6" ht="15" customHeight="1" x14ac:dyDescent="0.3">
      <c r="A78"/>
      <c r="C78"/>
      <c r="E78"/>
      <c r="F78"/>
    </row>
    <row r="79" spans="1:6" x14ac:dyDescent="0.3">
      <c r="A79"/>
      <c r="C79"/>
      <c r="E79"/>
      <c r="F79"/>
    </row>
    <row r="80" spans="1:6" x14ac:dyDescent="0.3">
      <c r="A80"/>
      <c r="C80"/>
      <c r="E80"/>
      <c r="F80"/>
    </row>
    <row r="81" spans="1:6" ht="15" customHeight="1" x14ac:dyDescent="0.3">
      <c r="A81"/>
      <c r="C81"/>
      <c r="E81"/>
      <c r="F81"/>
    </row>
    <row r="82" spans="1:6" x14ac:dyDescent="0.3">
      <c r="A82"/>
      <c r="C82"/>
      <c r="E82"/>
      <c r="F82"/>
    </row>
    <row r="83" spans="1:6" x14ac:dyDescent="0.3">
      <c r="A83"/>
      <c r="C83"/>
      <c r="E83"/>
      <c r="F83"/>
    </row>
    <row r="84" spans="1:6" x14ac:dyDescent="0.3">
      <c r="A84"/>
      <c r="C84"/>
      <c r="E84"/>
      <c r="F84"/>
    </row>
    <row r="85" spans="1:6" x14ac:dyDescent="0.3">
      <c r="A85"/>
      <c r="C85"/>
      <c r="E85"/>
      <c r="F85"/>
    </row>
    <row r="86" spans="1:6" x14ac:dyDescent="0.3">
      <c r="A86"/>
      <c r="C86"/>
      <c r="E86"/>
      <c r="F86"/>
    </row>
    <row r="87" spans="1:6" x14ac:dyDescent="0.3">
      <c r="A87"/>
      <c r="C87"/>
      <c r="E87"/>
      <c r="F87"/>
    </row>
    <row r="88" spans="1:6" x14ac:dyDescent="0.3">
      <c r="A88"/>
      <c r="C88"/>
      <c r="E88"/>
      <c r="F88"/>
    </row>
    <row r="89" spans="1:6" x14ac:dyDescent="0.3">
      <c r="A89"/>
      <c r="C89"/>
      <c r="E89"/>
      <c r="F89"/>
    </row>
    <row r="90" spans="1:6" x14ac:dyDescent="0.3">
      <c r="A90"/>
      <c r="C90"/>
      <c r="E90"/>
      <c r="F90"/>
    </row>
    <row r="91" spans="1:6" x14ac:dyDescent="0.3">
      <c r="A91"/>
      <c r="C91"/>
      <c r="E91"/>
      <c r="F91"/>
    </row>
    <row r="92" spans="1:6" x14ac:dyDescent="0.3">
      <c r="A92"/>
      <c r="C92"/>
      <c r="E92"/>
      <c r="F92"/>
    </row>
    <row r="93" spans="1:6" x14ac:dyDescent="0.3">
      <c r="A93"/>
      <c r="C93"/>
      <c r="E93"/>
      <c r="F93"/>
    </row>
    <row r="94" spans="1:6" x14ac:dyDescent="0.3">
      <c r="A94"/>
      <c r="C94"/>
      <c r="E94"/>
      <c r="F94"/>
    </row>
    <row r="95" spans="1:6" x14ac:dyDescent="0.3">
      <c r="A95"/>
      <c r="C95"/>
      <c r="E95"/>
      <c r="F95"/>
    </row>
    <row r="96" spans="1:6" x14ac:dyDescent="0.3">
      <c r="A96"/>
      <c r="C96"/>
      <c r="E96"/>
      <c r="F96"/>
    </row>
    <row r="97" spans="1:10" x14ac:dyDescent="0.3">
      <c r="A97"/>
      <c r="C97"/>
      <c r="E97"/>
      <c r="F97"/>
    </row>
    <row r="98" spans="1:10" x14ac:dyDescent="0.3">
      <c r="A98"/>
      <c r="C98"/>
      <c r="E98"/>
      <c r="F98"/>
    </row>
    <row r="99" spans="1:10" x14ac:dyDescent="0.3">
      <c r="A99"/>
      <c r="C99"/>
      <c r="E99"/>
      <c r="F99"/>
    </row>
    <row r="100" spans="1:10" x14ac:dyDescent="0.3">
      <c r="A100"/>
      <c r="C100"/>
      <c r="E100"/>
      <c r="F100"/>
    </row>
    <row r="101" spans="1:10" x14ac:dyDescent="0.3">
      <c r="A101"/>
      <c r="C101"/>
      <c r="E101"/>
      <c r="F101"/>
    </row>
    <row r="102" spans="1:10" x14ac:dyDescent="0.3">
      <c r="A102"/>
      <c r="C102"/>
      <c r="E102"/>
      <c r="F102"/>
    </row>
    <row r="103" spans="1:10" ht="15" thickBot="1" x14ac:dyDescent="0.35">
      <c r="A103"/>
      <c r="C103"/>
      <c r="E103"/>
      <c r="F103"/>
      <c r="J103" s="11"/>
    </row>
    <row r="104" spans="1:10" x14ac:dyDescent="0.3">
      <c r="A104"/>
      <c r="C104"/>
      <c r="E104"/>
      <c r="F104"/>
    </row>
    <row r="105" spans="1:10" ht="15" thickBot="1" x14ac:dyDescent="0.35">
      <c r="A105"/>
      <c r="C105"/>
      <c r="E105"/>
      <c r="F105"/>
    </row>
    <row r="106" spans="1:10" x14ac:dyDescent="0.3">
      <c r="A106"/>
      <c r="C106"/>
      <c r="E106"/>
      <c r="F106"/>
      <c r="J106" s="2"/>
    </row>
    <row r="107" spans="1:10" x14ac:dyDescent="0.3">
      <c r="A107"/>
      <c r="C107"/>
      <c r="E107"/>
      <c r="F107"/>
    </row>
    <row r="108" spans="1:10" x14ac:dyDescent="0.3">
      <c r="A108"/>
      <c r="C108"/>
      <c r="E108"/>
      <c r="F108"/>
    </row>
    <row r="109" spans="1:10" ht="15" thickBot="1" x14ac:dyDescent="0.35">
      <c r="A109"/>
      <c r="C109"/>
      <c r="E109"/>
      <c r="F109"/>
      <c r="J109" s="11"/>
    </row>
    <row r="110" spans="1:10" x14ac:dyDescent="0.3">
      <c r="A110"/>
      <c r="C110"/>
      <c r="E110"/>
      <c r="F110"/>
    </row>
    <row r="111" spans="1:10" ht="15" thickBot="1" x14ac:dyDescent="0.35">
      <c r="A111"/>
      <c r="C111"/>
      <c r="E111"/>
      <c r="F111"/>
    </row>
    <row r="112" spans="1:10" x14ac:dyDescent="0.3">
      <c r="A112"/>
      <c r="C112"/>
      <c r="E112"/>
      <c r="F112"/>
      <c r="J112" s="2"/>
    </row>
    <row r="113" spans="1:10" x14ac:dyDescent="0.3">
      <c r="A113"/>
      <c r="C113"/>
      <c r="E113"/>
      <c r="F113"/>
    </row>
    <row r="114" spans="1:10" x14ac:dyDescent="0.3">
      <c r="A114"/>
      <c r="C114"/>
      <c r="E114"/>
      <c r="F114"/>
    </row>
    <row r="115" spans="1:10" x14ac:dyDescent="0.3">
      <c r="A115"/>
      <c r="C115"/>
      <c r="E115"/>
      <c r="F115"/>
    </row>
    <row r="116" spans="1:10" ht="15" customHeight="1" x14ac:dyDescent="0.3">
      <c r="A116"/>
      <c r="C116"/>
      <c r="E116"/>
      <c r="F116"/>
    </row>
    <row r="117" spans="1:10" x14ac:dyDescent="0.3">
      <c r="A117"/>
      <c r="C117"/>
      <c r="E117"/>
      <c r="F117"/>
    </row>
    <row r="118" spans="1:10" x14ac:dyDescent="0.3">
      <c r="A118"/>
      <c r="C118"/>
      <c r="E118"/>
      <c r="F118"/>
    </row>
    <row r="119" spans="1:10" ht="15" customHeight="1" x14ac:dyDescent="0.3">
      <c r="A119"/>
      <c r="C119"/>
      <c r="E119"/>
      <c r="F119"/>
    </row>
    <row r="120" spans="1:10" x14ac:dyDescent="0.3">
      <c r="A120"/>
      <c r="C120"/>
      <c r="E120"/>
      <c r="F120"/>
    </row>
    <row r="121" spans="1:10" x14ac:dyDescent="0.3">
      <c r="A121"/>
      <c r="C121"/>
      <c r="E121"/>
      <c r="F121"/>
    </row>
    <row r="122" spans="1:10" x14ac:dyDescent="0.3">
      <c r="A122"/>
      <c r="C122"/>
      <c r="E122"/>
      <c r="F122"/>
    </row>
    <row r="123" spans="1:10" x14ac:dyDescent="0.3">
      <c r="A123"/>
      <c r="C123"/>
      <c r="E123"/>
      <c r="F123"/>
    </row>
    <row r="124" spans="1:10" ht="15" customHeight="1" x14ac:dyDescent="0.3">
      <c r="A124"/>
      <c r="C124"/>
      <c r="E124"/>
      <c r="F124"/>
    </row>
    <row r="125" spans="1:10" x14ac:dyDescent="0.3">
      <c r="A125"/>
      <c r="C125"/>
      <c r="E125"/>
      <c r="F125"/>
    </row>
    <row r="126" spans="1:10" ht="15" thickBot="1" x14ac:dyDescent="0.35">
      <c r="A126"/>
      <c r="C126"/>
      <c r="E126"/>
      <c r="F126"/>
      <c r="J126" s="11"/>
    </row>
    <row r="127" spans="1:10" x14ac:dyDescent="0.3">
      <c r="A127"/>
      <c r="C127"/>
      <c r="E127"/>
      <c r="F127"/>
    </row>
    <row r="128" spans="1:10" ht="15" thickBot="1" x14ac:dyDescent="0.35">
      <c r="A128"/>
      <c r="C128"/>
      <c r="E128"/>
      <c r="F128"/>
    </row>
    <row r="129" spans="1:10" x14ac:dyDescent="0.3">
      <c r="A129"/>
      <c r="C129"/>
      <c r="E129"/>
      <c r="F129"/>
      <c r="J129" s="2"/>
    </row>
    <row r="130" spans="1:10" x14ac:dyDescent="0.3">
      <c r="A130"/>
      <c r="C130"/>
      <c r="E130"/>
      <c r="F130"/>
    </row>
    <row r="131" spans="1:10" x14ac:dyDescent="0.3">
      <c r="A131"/>
      <c r="C131"/>
      <c r="E131"/>
      <c r="F131"/>
    </row>
    <row r="132" spans="1:10" x14ac:dyDescent="0.3">
      <c r="A132"/>
      <c r="C132"/>
      <c r="E132"/>
      <c r="F132"/>
    </row>
    <row r="133" spans="1:10" x14ac:dyDescent="0.3">
      <c r="A133"/>
      <c r="C133"/>
      <c r="E133"/>
      <c r="F133"/>
    </row>
    <row r="134" spans="1:10" x14ac:dyDescent="0.3">
      <c r="A134"/>
      <c r="C134"/>
      <c r="E134"/>
      <c r="F134"/>
    </row>
    <row r="135" spans="1:10" x14ac:dyDescent="0.3">
      <c r="A135"/>
      <c r="C135"/>
      <c r="E135"/>
      <c r="F135"/>
    </row>
    <row r="136" spans="1:10" x14ac:dyDescent="0.3">
      <c r="A136"/>
      <c r="C136"/>
      <c r="E136"/>
      <c r="F136"/>
    </row>
    <row r="137" spans="1:10" x14ac:dyDescent="0.3">
      <c r="A137"/>
      <c r="C137"/>
      <c r="E137"/>
      <c r="F137"/>
    </row>
    <row r="138" spans="1:10" x14ac:dyDescent="0.3">
      <c r="A138"/>
      <c r="C138"/>
      <c r="E138"/>
      <c r="F138"/>
    </row>
    <row r="139" spans="1:10" x14ac:dyDescent="0.3">
      <c r="A139"/>
      <c r="C139"/>
      <c r="E139"/>
      <c r="F139"/>
    </row>
    <row r="140" spans="1:10" x14ac:dyDescent="0.3">
      <c r="A140"/>
      <c r="C140"/>
      <c r="E140"/>
      <c r="F140"/>
    </row>
    <row r="141" spans="1:10" x14ac:dyDescent="0.3">
      <c r="A141"/>
      <c r="C141"/>
      <c r="E141"/>
      <c r="F141"/>
    </row>
    <row r="142" spans="1:10" x14ac:dyDescent="0.3">
      <c r="A142"/>
      <c r="C142"/>
      <c r="E142"/>
      <c r="F142"/>
    </row>
    <row r="143" spans="1:10" x14ac:dyDescent="0.3">
      <c r="A143"/>
      <c r="C143"/>
      <c r="E143"/>
      <c r="F143"/>
    </row>
    <row r="144" spans="1:10" x14ac:dyDescent="0.3">
      <c r="A144"/>
      <c r="C144"/>
      <c r="E144"/>
      <c r="F144"/>
    </row>
    <row r="145" spans="1:10" ht="15" thickBot="1" x14ac:dyDescent="0.35">
      <c r="A145"/>
      <c r="C145"/>
      <c r="E145"/>
      <c r="F145"/>
      <c r="J145" s="11"/>
    </row>
    <row r="146" spans="1:10" x14ac:dyDescent="0.3">
      <c r="A146"/>
      <c r="C146"/>
      <c r="E146"/>
      <c r="F146"/>
    </row>
    <row r="147" spans="1:10" ht="15" customHeight="1" thickBot="1" x14ac:dyDescent="0.35">
      <c r="A147"/>
      <c r="C147"/>
      <c r="E147"/>
      <c r="F147"/>
    </row>
    <row r="148" spans="1:10" x14ac:dyDescent="0.3">
      <c r="A148"/>
      <c r="C148"/>
      <c r="E148"/>
      <c r="F148"/>
      <c r="J148" s="2"/>
    </row>
    <row r="149" spans="1:10" x14ac:dyDescent="0.3">
      <c r="A149"/>
      <c r="C149"/>
      <c r="E149"/>
      <c r="F149"/>
    </row>
    <row r="150" spans="1:10" x14ac:dyDescent="0.3">
      <c r="A150"/>
      <c r="C150"/>
      <c r="E150"/>
      <c r="F150"/>
    </row>
    <row r="151" spans="1:10" x14ac:dyDescent="0.3">
      <c r="A151"/>
      <c r="C151"/>
      <c r="E151"/>
      <c r="F151"/>
    </row>
    <row r="152" spans="1:10" x14ac:dyDescent="0.3">
      <c r="A152"/>
      <c r="C152"/>
      <c r="E152"/>
      <c r="F152"/>
    </row>
    <row r="153" spans="1:10" x14ac:dyDescent="0.3">
      <c r="A153"/>
      <c r="C153"/>
      <c r="E153"/>
      <c r="F153"/>
    </row>
    <row r="154" spans="1:10" x14ac:dyDescent="0.3">
      <c r="A154"/>
      <c r="C154" s="3"/>
      <c r="E154" s="1"/>
      <c r="F154"/>
    </row>
    <row r="155" spans="1:10" x14ac:dyDescent="0.3">
      <c r="A155"/>
      <c r="C155" s="3"/>
      <c r="E155" s="1"/>
      <c r="F155"/>
    </row>
    <row r="156" spans="1:10" x14ac:dyDescent="0.3">
      <c r="A156"/>
      <c r="C156" s="3"/>
      <c r="E156" s="1"/>
      <c r="F156"/>
    </row>
    <row r="157" spans="1:10" x14ac:dyDescent="0.3">
      <c r="A157"/>
      <c r="C157" s="3"/>
      <c r="E157" s="1"/>
      <c r="F157"/>
    </row>
    <row r="158" spans="1:10" x14ac:dyDescent="0.3">
      <c r="A158"/>
      <c r="C158" s="3"/>
      <c r="E158" s="1"/>
      <c r="F158"/>
    </row>
    <row r="159" spans="1:10" x14ac:dyDescent="0.3">
      <c r="A159"/>
      <c r="C159" s="3"/>
      <c r="E159" s="1"/>
      <c r="F159"/>
    </row>
    <row r="160" spans="1:10" x14ac:dyDescent="0.3">
      <c r="A160"/>
      <c r="C160" s="3"/>
      <c r="E160" s="1"/>
      <c r="F160"/>
    </row>
    <row r="161" spans="1:10" x14ac:dyDescent="0.3">
      <c r="A161"/>
      <c r="C161" s="3"/>
      <c r="E161" s="1"/>
      <c r="F161"/>
    </row>
    <row r="162" spans="1:10" x14ac:dyDescent="0.3">
      <c r="A162"/>
      <c r="C162" s="3"/>
      <c r="E162" s="1"/>
      <c r="F162"/>
    </row>
    <row r="163" spans="1:10" x14ac:dyDescent="0.3">
      <c r="A163"/>
      <c r="C163" s="3"/>
      <c r="E163" s="1"/>
      <c r="F163"/>
    </row>
    <row r="164" spans="1:10" ht="15" thickBot="1" x14ac:dyDescent="0.35">
      <c r="A164"/>
      <c r="C164" s="3"/>
      <c r="E164" s="1"/>
      <c r="F164"/>
    </row>
    <row r="165" spans="1:10" x14ac:dyDescent="0.3">
      <c r="A165"/>
      <c r="C165" s="3"/>
      <c r="E165" s="1"/>
      <c r="F165"/>
      <c r="J165" s="2"/>
    </row>
    <row r="166" spans="1:10" ht="15" thickBot="1" x14ac:dyDescent="0.35">
      <c r="A166"/>
      <c r="C166" s="3"/>
      <c r="E166" s="1"/>
      <c r="F166"/>
      <c r="J166" s="11"/>
    </row>
    <row r="167" spans="1:10" x14ac:dyDescent="0.3">
      <c r="A167"/>
      <c r="C167" s="3"/>
      <c r="E167" s="1"/>
      <c r="F167"/>
    </row>
    <row r="168" spans="1:10" ht="15" thickBot="1" x14ac:dyDescent="0.35">
      <c r="A168"/>
      <c r="C168" s="3"/>
      <c r="E168" s="1"/>
      <c r="F168"/>
    </row>
    <row r="169" spans="1:10" ht="15" thickBot="1" x14ac:dyDescent="0.35">
      <c r="A169"/>
      <c r="C169" s="3"/>
      <c r="E169" s="1"/>
      <c r="F169"/>
      <c r="J169" s="56"/>
    </row>
    <row r="170" spans="1:10" x14ac:dyDescent="0.3">
      <c r="A170"/>
      <c r="C170" s="3"/>
      <c r="E170" s="1"/>
      <c r="F170"/>
    </row>
    <row r="171" spans="1:10" x14ac:dyDescent="0.3">
      <c r="A171"/>
      <c r="C171" s="3"/>
      <c r="E171" s="1"/>
      <c r="F171"/>
    </row>
    <row r="172" spans="1:10" x14ac:dyDescent="0.3">
      <c r="A172"/>
      <c r="C172" s="3"/>
      <c r="E172" s="1"/>
      <c r="F172"/>
    </row>
    <row r="173" spans="1:10" x14ac:dyDescent="0.3">
      <c r="A173"/>
      <c r="C173" s="3"/>
      <c r="E173" s="1"/>
      <c r="F173"/>
    </row>
    <row r="174" spans="1:10" x14ac:dyDescent="0.3">
      <c r="A174"/>
      <c r="C174" s="3"/>
      <c r="E174" s="1"/>
      <c r="F174"/>
    </row>
    <row r="175" spans="1:10" x14ac:dyDescent="0.3">
      <c r="A175"/>
      <c r="C175" s="3"/>
      <c r="E175" s="1"/>
      <c r="F175"/>
    </row>
    <row r="176" spans="1:10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ht="15" customHeight="1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ht="15" customHeight="1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  <row r="238" spans="1:6" x14ac:dyDescent="0.3">
      <c r="A238"/>
      <c r="C238" s="3"/>
      <c r="E238" s="1"/>
      <c r="F238"/>
    </row>
    <row r="239" spans="1:6" x14ac:dyDescent="0.3">
      <c r="A239"/>
      <c r="C239" s="3"/>
      <c r="E239" s="1"/>
      <c r="F239"/>
    </row>
    <row r="240" spans="1:6" x14ac:dyDescent="0.3">
      <c r="A240"/>
      <c r="C240" s="3"/>
      <c r="E240" s="1"/>
      <c r="F240"/>
    </row>
    <row r="241" spans="1:6" x14ac:dyDescent="0.3">
      <c r="A241"/>
      <c r="C241" s="3"/>
      <c r="E241" s="1"/>
      <c r="F241"/>
    </row>
  </sheetData>
  <mergeCells count="14">
    <mergeCell ref="G1:J1"/>
    <mergeCell ref="M3:M11"/>
    <mergeCell ref="P3:P11"/>
    <mergeCell ref="O3:O11"/>
    <mergeCell ref="A13:A32"/>
    <mergeCell ref="D14:D16"/>
    <mergeCell ref="D21:D26"/>
    <mergeCell ref="D18:D20"/>
    <mergeCell ref="D28:D30"/>
    <mergeCell ref="A3:A11"/>
    <mergeCell ref="B3:B11"/>
    <mergeCell ref="K3:K11"/>
    <mergeCell ref="L3:L11"/>
    <mergeCell ref="C3:C11"/>
  </mergeCells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Feuil7"/>
  <dimension ref="A1:P269"/>
  <sheetViews>
    <sheetView topLeftCell="C1" zoomScale="70" zoomScaleNormal="70" workbookViewId="0">
      <selection activeCell="E3" sqref="E3:J12"/>
    </sheetView>
  </sheetViews>
  <sheetFormatPr baseColWidth="10" defaultColWidth="11.44140625" defaultRowHeight="14.4" x14ac:dyDescent="0.3"/>
  <cols>
    <col min="1" max="1" width="33.4414062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bestFit="1" customWidth="1"/>
    <col min="6" max="6" width="34.44140625" style="1" bestFit="1" customWidth="1"/>
    <col min="7" max="7" width="21.6640625" bestFit="1" customWidth="1"/>
    <col min="8" max="8" width="16.88671875" bestFit="1" customWidth="1"/>
    <col min="9" max="9" width="12" bestFit="1" customWidth="1"/>
    <col min="10" max="10" width="30.109375" bestFit="1" customWidth="1"/>
    <col min="11" max="11" width="33.109375" bestFit="1" customWidth="1"/>
    <col min="12" max="12" width="18.5546875" bestFit="1" customWidth="1"/>
    <col min="13" max="13" width="32.109375" bestFit="1" customWidth="1"/>
    <col min="14" max="14" width="25.33203125" bestFit="1" customWidth="1"/>
    <col min="15" max="15" width="40.6640625" bestFit="1" customWidth="1"/>
    <col min="16" max="16" width="14.88671875" bestFit="1" customWidth="1"/>
  </cols>
  <sheetData>
    <row r="1" spans="1:16" ht="39.9" customHeight="1" thickBot="1" x14ac:dyDescent="0.35">
      <c r="A1" s="716" t="s">
        <v>4</v>
      </c>
      <c r="B1" s="720" t="s">
        <v>5</v>
      </c>
      <c r="C1" s="721" t="s">
        <v>7</v>
      </c>
      <c r="D1" s="720" t="s">
        <v>8</v>
      </c>
      <c r="E1" s="720" t="s">
        <v>9</v>
      </c>
      <c r="F1" s="720" t="s">
        <v>529</v>
      </c>
      <c r="G1" s="1143" t="s">
        <v>530</v>
      </c>
      <c r="H1" s="1091"/>
      <c r="I1" s="1091"/>
      <c r="J1" s="1144"/>
      <c r="K1" s="710" t="s">
        <v>11</v>
      </c>
      <c r="L1" s="720" t="s">
        <v>12</v>
      </c>
      <c r="M1" s="720" t="s">
        <v>13</v>
      </c>
      <c r="N1" s="720" t="s">
        <v>15</v>
      </c>
      <c r="O1" s="720" t="s">
        <v>16</v>
      </c>
      <c r="P1" s="720" t="s">
        <v>17</v>
      </c>
    </row>
    <row r="2" spans="1:16" ht="15" thickBot="1" x14ac:dyDescent="0.35">
      <c r="A2" s="31"/>
      <c r="B2" s="719"/>
      <c r="C2" s="718"/>
      <c r="D2" s="717"/>
      <c r="E2" s="724"/>
      <c r="F2" s="720" t="s">
        <v>402</v>
      </c>
      <c r="G2" s="747" t="s">
        <v>530</v>
      </c>
      <c r="H2" s="636" t="s">
        <v>404</v>
      </c>
      <c r="I2" s="747" t="s">
        <v>406</v>
      </c>
      <c r="J2" s="742" t="s">
        <v>407</v>
      </c>
      <c r="K2" s="741"/>
      <c r="L2" s="717"/>
      <c r="M2" s="717"/>
      <c r="N2" s="717"/>
      <c r="O2" s="717"/>
      <c r="P2" s="717"/>
    </row>
    <row r="3" spans="1:16" ht="15.75" customHeight="1" thickBot="1" x14ac:dyDescent="0.35">
      <c r="A3" s="1071" t="s">
        <v>69</v>
      </c>
      <c r="B3" s="1025" t="s">
        <v>70</v>
      </c>
      <c r="C3" s="1045" t="s">
        <v>414</v>
      </c>
      <c r="D3" s="702" t="s">
        <v>234</v>
      </c>
      <c r="E3" s="702">
        <f>SUM(E4:E12)</f>
        <v>3.6497000000000002</v>
      </c>
      <c r="F3" s="141">
        <f>SUM(F4:F5)</f>
        <v>18.536999999999999</v>
      </c>
      <c r="G3" s="141"/>
      <c r="H3" s="141">
        <f>SUM(H4:H5)</f>
        <v>21.015999999999998</v>
      </c>
      <c r="I3" s="141">
        <f>SUM(I4:I5)</f>
        <v>0.248</v>
      </c>
      <c r="J3" s="703"/>
      <c r="K3" s="1028" t="s">
        <v>414</v>
      </c>
      <c r="L3" s="1007" t="s">
        <v>61</v>
      </c>
      <c r="M3" s="1016" t="s">
        <v>62</v>
      </c>
      <c r="N3" s="663"/>
      <c r="O3" s="1016">
        <v>364</v>
      </c>
      <c r="P3" s="1136" t="s">
        <v>30</v>
      </c>
    </row>
    <row r="4" spans="1:16" ht="15" thickBot="1" x14ac:dyDescent="0.35">
      <c r="A4" s="1113"/>
      <c r="B4" s="1026"/>
      <c r="C4" s="1046"/>
      <c r="D4" s="282" t="s">
        <v>47</v>
      </c>
      <c r="E4" s="748">
        <f>SUM(E16:E23)</f>
        <v>2.125</v>
      </c>
      <c r="F4" s="727">
        <f>SUM(F16:F23)</f>
        <v>16.21</v>
      </c>
      <c r="G4" s="727"/>
      <c r="H4" s="727">
        <f>SUM(H16:H23,H41:H45,H75,H107,H113,H130,H149:H150)</f>
        <v>18.288999999999998</v>
      </c>
      <c r="I4" s="727">
        <f>SUM(I18)</f>
        <v>0.20899999999999999</v>
      </c>
      <c r="J4" s="727" t="s">
        <v>51</v>
      </c>
      <c r="K4" s="1029"/>
      <c r="L4" s="1008"/>
      <c r="M4" s="1017"/>
      <c r="N4" s="662"/>
      <c r="O4" s="1017"/>
      <c r="P4" s="1137"/>
    </row>
    <row r="5" spans="1:16" ht="15" thickBot="1" x14ac:dyDescent="0.35">
      <c r="A5" s="1113"/>
      <c r="B5" s="1026"/>
      <c r="C5" s="1046"/>
      <c r="D5" s="117" t="s">
        <v>252</v>
      </c>
      <c r="E5" s="743">
        <f>SUM(E24:E27)</f>
        <v>1.2590000000000001</v>
      </c>
      <c r="F5" s="730">
        <f>SUM(F24:F28)</f>
        <v>2.327</v>
      </c>
      <c r="G5" s="730"/>
      <c r="H5" s="730">
        <f>SUM(H24:H27)</f>
        <v>2.7269999999999999</v>
      </c>
      <c r="I5" s="730">
        <f>SUM(I24)</f>
        <v>3.9E-2</v>
      </c>
      <c r="J5" s="730" t="s">
        <v>51</v>
      </c>
      <c r="K5" s="1029"/>
      <c r="L5" s="1008"/>
      <c r="M5" s="1017"/>
      <c r="N5" s="662"/>
      <c r="O5" s="1017"/>
      <c r="P5" s="1137"/>
    </row>
    <row r="6" spans="1:16" x14ac:dyDescent="0.3">
      <c r="A6" s="1113"/>
      <c r="B6" s="1026"/>
      <c r="C6" s="1046"/>
      <c r="D6" s="381" t="s">
        <v>258</v>
      </c>
      <c r="E6" s="522">
        <f>SUM(E28)</f>
        <v>3.3000000000000002E-2</v>
      </c>
      <c r="F6" s="694"/>
      <c r="G6" s="662"/>
      <c r="H6" s="662"/>
      <c r="I6" s="662"/>
      <c r="J6" s="8"/>
      <c r="K6" s="1029"/>
      <c r="L6" s="1008"/>
      <c r="M6" s="1017"/>
      <c r="N6" s="662"/>
      <c r="O6" s="1017"/>
      <c r="P6" s="1137"/>
    </row>
    <row r="7" spans="1:16" x14ac:dyDescent="0.3">
      <c r="A7" s="1113"/>
      <c r="B7" s="1026"/>
      <c r="C7" s="1046"/>
      <c r="D7" s="168" t="s">
        <v>244</v>
      </c>
      <c r="E7" s="744">
        <f>SUM(E29:E31)</f>
        <v>1.4E-2</v>
      </c>
      <c r="F7" s="694"/>
      <c r="G7" s="662"/>
      <c r="H7" s="662"/>
      <c r="I7" s="662"/>
      <c r="J7" s="8"/>
      <c r="K7" s="1029"/>
      <c r="L7" s="1008"/>
      <c r="M7" s="1017"/>
      <c r="N7" s="662"/>
      <c r="O7" s="1017"/>
      <c r="P7" s="1137"/>
    </row>
    <row r="8" spans="1:16" x14ac:dyDescent="0.3">
      <c r="A8" s="1113"/>
      <c r="B8" s="1026"/>
      <c r="C8" s="1046"/>
      <c r="D8" s="172" t="s">
        <v>253</v>
      </c>
      <c r="E8" s="398">
        <f>SUM(E32:E53)</f>
        <v>0.11650000000000002</v>
      </c>
      <c r="F8" s="694"/>
      <c r="G8" s="662"/>
      <c r="H8" s="662"/>
      <c r="I8" s="662"/>
      <c r="J8" s="8"/>
      <c r="K8" s="1029"/>
      <c r="L8" s="1008"/>
      <c r="M8" s="1017"/>
      <c r="N8" s="662"/>
      <c r="O8" s="1017"/>
      <c r="P8" s="1137"/>
    </row>
    <row r="9" spans="1:16" x14ac:dyDescent="0.3">
      <c r="A9" s="1113"/>
      <c r="B9" s="1026"/>
      <c r="C9" s="1046"/>
      <c r="D9" s="65" t="s">
        <v>240</v>
      </c>
      <c r="E9" s="538">
        <f>SUM(E54:E55)</f>
        <v>3.5500000000000004E-2</v>
      </c>
      <c r="F9" s="694"/>
      <c r="G9" s="662"/>
      <c r="H9" s="662"/>
      <c r="I9" s="662"/>
      <c r="J9" s="8"/>
      <c r="K9" s="1029"/>
      <c r="L9" s="1008"/>
      <c r="M9" s="1145"/>
      <c r="N9" s="662"/>
      <c r="O9" s="1145"/>
      <c r="P9" s="1142"/>
    </row>
    <row r="10" spans="1:16" x14ac:dyDescent="0.3">
      <c r="A10" s="1113"/>
      <c r="B10" s="1026"/>
      <c r="C10" s="1046"/>
      <c r="D10" s="351" t="s">
        <v>267</v>
      </c>
      <c r="E10" s="540">
        <f>SUM(E56)</f>
        <v>5.8999999999999997E-2</v>
      </c>
      <c r="F10" s="694"/>
      <c r="G10" s="662"/>
      <c r="H10" s="662"/>
      <c r="I10" s="662"/>
      <c r="J10" s="8"/>
      <c r="K10" s="1029"/>
      <c r="L10" s="1008"/>
      <c r="M10" s="1145"/>
      <c r="O10" s="1145"/>
      <c r="P10" s="1142"/>
    </row>
    <row r="11" spans="1:16" x14ac:dyDescent="0.3">
      <c r="A11" s="1113"/>
      <c r="B11" s="1026"/>
      <c r="C11" s="1046"/>
      <c r="D11" s="79" t="s">
        <v>262</v>
      </c>
      <c r="E11" s="539">
        <f>SUM(E57)</f>
        <v>7.0000000000000001E-3</v>
      </c>
      <c r="F11" s="694"/>
      <c r="G11" s="662"/>
      <c r="H11" s="662"/>
      <c r="I11" s="662"/>
      <c r="J11" s="8"/>
      <c r="K11" s="1029"/>
      <c r="L11" s="1008"/>
      <c r="M11" s="1145"/>
      <c r="O11" s="1145"/>
      <c r="P11" s="1142"/>
    </row>
    <row r="12" spans="1:16" x14ac:dyDescent="0.3">
      <c r="A12" s="1113"/>
      <c r="B12" s="1026"/>
      <c r="C12" s="1046"/>
      <c r="D12" s="383" t="s">
        <v>256</v>
      </c>
      <c r="E12" s="745">
        <f>SUM(E58)</f>
        <v>6.9999999999999999E-4</v>
      </c>
      <c r="F12" s="694"/>
      <c r="G12" s="662"/>
      <c r="H12" s="662"/>
      <c r="I12" s="662"/>
      <c r="J12" s="8"/>
      <c r="K12" s="1029"/>
      <c r="L12" s="1008"/>
      <c r="M12" s="1145"/>
      <c r="N12" s="662"/>
      <c r="O12" s="1145"/>
      <c r="P12" s="1142"/>
    </row>
    <row r="13" spans="1:16" ht="15" thickBot="1" x14ac:dyDescent="0.35">
      <c r="A13" s="1072"/>
      <c r="B13" s="1027"/>
      <c r="C13" s="1047"/>
      <c r="D13" s="80"/>
      <c r="E13" s="746"/>
      <c r="F13" s="695"/>
      <c r="G13" s="91"/>
      <c r="H13" s="91"/>
      <c r="I13" s="91"/>
      <c r="J13" s="10"/>
      <c r="K13" s="1030"/>
      <c r="L13" s="1009"/>
      <c r="M13" s="1018"/>
      <c r="N13" s="91"/>
      <c r="O13" s="1018"/>
      <c r="P13" s="1138"/>
    </row>
    <row r="14" spans="1:16" ht="15" thickBot="1" x14ac:dyDescent="0.35">
      <c r="A14"/>
      <c r="C14" s="3"/>
      <c r="E14" s="1"/>
      <c r="F14"/>
    </row>
    <row r="15" spans="1:16" ht="15" thickBot="1" x14ac:dyDescent="0.35">
      <c r="A15" s="1101" t="s">
        <v>69</v>
      </c>
      <c r="B15" s="83" t="s">
        <v>70</v>
      </c>
      <c r="C15" s="44"/>
      <c r="D15" s="67" t="s">
        <v>532</v>
      </c>
      <c r="E15" s="66">
        <f>SUM(E16:E58)</f>
        <v>3.6496999999999997</v>
      </c>
      <c r="F15" s="735" t="s">
        <v>402</v>
      </c>
      <c r="G15" s="735" t="s">
        <v>530</v>
      </c>
      <c r="H15" s="735" t="s">
        <v>404</v>
      </c>
      <c r="I15" s="735" t="s">
        <v>406</v>
      </c>
      <c r="J15" s="735" t="s">
        <v>407</v>
      </c>
      <c r="K15" s="38"/>
      <c r="L15" s="5"/>
      <c r="M15" s="5"/>
      <c r="N15" s="5"/>
      <c r="O15" s="5"/>
      <c r="P15" s="6"/>
    </row>
    <row r="16" spans="1:16" x14ac:dyDescent="0.3">
      <c r="A16" s="1102"/>
      <c r="B16" s="126" t="s">
        <v>734</v>
      </c>
      <c r="C16" s="69"/>
      <c r="D16" s="1093" t="s">
        <v>47</v>
      </c>
      <c r="E16" s="754">
        <v>4.0000000000000001E-3</v>
      </c>
      <c r="F16" s="280"/>
      <c r="G16" s="493"/>
      <c r="H16" s="493"/>
      <c r="I16" s="493"/>
      <c r="J16" s="493"/>
      <c r="P16" s="8"/>
    </row>
    <row r="17" spans="1:16" ht="15" thickBot="1" x14ac:dyDescent="0.35">
      <c r="A17" s="1102"/>
      <c r="B17" s="126" t="s">
        <v>735</v>
      </c>
      <c r="C17" s="69"/>
      <c r="D17" s="1093"/>
      <c r="E17" s="166">
        <v>1.7999999999999999E-2</v>
      </c>
      <c r="F17" s="195"/>
      <c r="G17" s="493"/>
      <c r="H17" s="493"/>
      <c r="I17" s="493"/>
      <c r="J17" s="493"/>
      <c r="P17" s="8"/>
    </row>
    <row r="18" spans="1:16" ht="15" thickBot="1" x14ac:dyDescent="0.35">
      <c r="A18" s="1102"/>
      <c r="B18" s="126" t="s">
        <v>736</v>
      </c>
      <c r="C18" s="69"/>
      <c r="D18" s="1093"/>
      <c r="E18" s="166">
        <v>1.7150000000000001</v>
      </c>
      <c r="F18" s="749">
        <f>SUM(H18-E18)</f>
        <v>12.917999999999999</v>
      </c>
      <c r="G18" s="727" t="s">
        <v>737</v>
      </c>
      <c r="H18" s="728">
        <v>14.632999999999999</v>
      </c>
      <c r="I18" s="727">
        <v>0.20899999999999999</v>
      </c>
      <c r="J18" s="727" t="s">
        <v>51</v>
      </c>
      <c r="P18" s="8"/>
    </row>
    <row r="19" spans="1:16" ht="15" thickBot="1" x14ac:dyDescent="0.35">
      <c r="A19" s="1102"/>
      <c r="B19" s="126" t="s">
        <v>738</v>
      </c>
      <c r="C19" s="69"/>
      <c r="D19" s="1093"/>
      <c r="E19" s="166">
        <v>0.36399999999999999</v>
      </c>
      <c r="F19" s="749">
        <f>SUM(H19-E19)</f>
        <v>3.2920000000000003</v>
      </c>
      <c r="G19" s="727" t="s">
        <v>739</v>
      </c>
      <c r="H19" s="727">
        <v>3.6560000000000001</v>
      </c>
      <c r="I19" s="727">
        <v>6.6000000000000003E-2</v>
      </c>
      <c r="J19" s="727" t="s">
        <v>51</v>
      </c>
      <c r="P19" s="8"/>
    </row>
    <row r="20" spans="1:16" x14ac:dyDescent="0.3">
      <c r="A20" s="1102"/>
      <c r="B20" s="126" t="s">
        <v>740</v>
      </c>
      <c r="C20" s="69"/>
      <c r="D20" s="1093"/>
      <c r="E20" s="166">
        <v>0.01</v>
      </c>
      <c r="F20" s="195"/>
      <c r="G20" s="195"/>
      <c r="H20" s="493"/>
      <c r="I20" s="493"/>
      <c r="J20" s="493"/>
      <c r="P20" s="8"/>
    </row>
    <row r="21" spans="1:16" x14ac:dyDescent="0.3">
      <c r="A21" s="1102"/>
      <c r="B21" s="126" t="s">
        <v>741</v>
      </c>
      <c r="C21" s="69"/>
      <c r="D21" s="1093"/>
      <c r="E21" s="166">
        <v>1.2999999999999999E-2</v>
      </c>
      <c r="F21" s="195"/>
      <c r="G21" s="195"/>
      <c r="H21" s="493"/>
      <c r="I21" s="493"/>
      <c r="J21" s="493"/>
      <c r="P21" s="8"/>
    </row>
    <row r="22" spans="1:16" x14ac:dyDescent="0.3">
      <c r="A22" s="1102"/>
      <c r="B22" s="126" t="s">
        <v>742</v>
      </c>
      <c r="C22" s="69"/>
      <c r="D22" s="1093"/>
      <c r="E22" s="166">
        <v>5.0000000000000001E-4</v>
      </c>
      <c r="F22" s="195"/>
      <c r="G22" s="195"/>
      <c r="H22" s="493"/>
      <c r="I22" s="493"/>
      <c r="J22" s="493"/>
      <c r="P22" s="8"/>
    </row>
    <row r="23" spans="1:16" ht="15" thickBot="1" x14ac:dyDescent="0.35">
      <c r="A23" s="1102"/>
      <c r="B23" s="126" t="s">
        <v>743</v>
      </c>
      <c r="C23" s="69"/>
      <c r="D23" s="1093"/>
      <c r="E23" s="166">
        <v>5.0000000000000001E-4</v>
      </c>
      <c r="F23" s="195"/>
      <c r="G23" s="195"/>
      <c r="H23" s="493"/>
      <c r="I23" s="493"/>
      <c r="J23" s="493"/>
      <c r="P23" s="8"/>
    </row>
    <row r="24" spans="1:16" ht="15" thickBot="1" x14ac:dyDescent="0.35">
      <c r="A24" s="1102"/>
      <c r="B24" s="84" t="s">
        <v>744</v>
      </c>
      <c r="C24" s="3"/>
      <c r="D24" s="1095" t="s">
        <v>252</v>
      </c>
      <c r="E24" s="117">
        <v>0.4</v>
      </c>
      <c r="F24" s="729">
        <f>SUM(H24-E24)</f>
        <v>2.327</v>
      </c>
      <c r="G24" s="730" t="s">
        <v>745</v>
      </c>
      <c r="H24" s="730">
        <v>2.7269999999999999</v>
      </c>
      <c r="I24" s="730">
        <v>3.9E-2</v>
      </c>
      <c r="J24" s="729" t="s">
        <v>51</v>
      </c>
      <c r="P24" s="8"/>
    </row>
    <row r="25" spans="1:16" x14ac:dyDescent="0.3">
      <c r="A25" s="1102"/>
      <c r="B25" s="84" t="s">
        <v>746</v>
      </c>
      <c r="C25" s="3"/>
      <c r="D25" s="1095"/>
      <c r="E25" s="117">
        <v>0.56200000000000006</v>
      </c>
      <c r="F25"/>
      <c r="P25" s="8"/>
    </row>
    <row r="26" spans="1:16" x14ac:dyDescent="0.3">
      <c r="A26" s="1102"/>
      <c r="B26" s="84" t="s">
        <v>747</v>
      </c>
      <c r="C26" s="3"/>
      <c r="D26" s="1095"/>
      <c r="E26" s="117">
        <v>0.29099999999999998</v>
      </c>
      <c r="F26"/>
      <c r="P26" s="8"/>
    </row>
    <row r="27" spans="1:16" x14ac:dyDescent="0.3">
      <c r="A27" s="1102"/>
      <c r="B27" s="84" t="s">
        <v>748</v>
      </c>
      <c r="C27" s="3"/>
      <c r="D27" s="1095"/>
      <c r="E27" s="117">
        <v>6.0000000000000001E-3</v>
      </c>
      <c r="F27"/>
      <c r="P27" s="8"/>
    </row>
    <row r="28" spans="1:16" x14ac:dyDescent="0.3">
      <c r="A28" s="1102"/>
      <c r="B28" s="382" t="s">
        <v>749</v>
      </c>
      <c r="C28" s="3"/>
      <c r="D28" s="381" t="s">
        <v>258</v>
      </c>
      <c r="E28" s="381">
        <v>3.3000000000000002E-2</v>
      </c>
      <c r="F28"/>
      <c r="P28" s="8"/>
    </row>
    <row r="29" spans="1:16" x14ac:dyDescent="0.3">
      <c r="A29" s="1102"/>
      <c r="B29" s="192" t="s">
        <v>610</v>
      </c>
      <c r="C29" s="3"/>
      <c r="D29" s="1098" t="s">
        <v>244</v>
      </c>
      <c r="E29" s="169">
        <v>3.0000000000000001E-3</v>
      </c>
      <c r="F29"/>
      <c r="P29" s="8"/>
    </row>
    <row r="30" spans="1:16" x14ac:dyDescent="0.3">
      <c r="A30" s="1102"/>
      <c r="B30" s="192" t="s">
        <v>750</v>
      </c>
      <c r="C30" s="3"/>
      <c r="D30" s="1098"/>
      <c r="E30" s="169">
        <v>1E-3</v>
      </c>
      <c r="F30"/>
      <c r="P30" s="8"/>
    </row>
    <row r="31" spans="1:16" x14ac:dyDescent="0.3">
      <c r="A31" s="1102"/>
      <c r="B31" s="192" t="s">
        <v>751</v>
      </c>
      <c r="C31" s="3"/>
      <c r="D31" s="1098"/>
      <c r="E31" s="169">
        <v>0.01</v>
      </c>
      <c r="F31"/>
      <c r="P31" s="8"/>
    </row>
    <row r="32" spans="1:16" x14ac:dyDescent="0.3">
      <c r="A32" s="1102"/>
      <c r="B32" s="193" t="s">
        <v>752</v>
      </c>
      <c r="C32"/>
      <c r="D32" s="1096" t="s">
        <v>253</v>
      </c>
      <c r="E32" s="174">
        <v>3.6999999999999998E-2</v>
      </c>
      <c r="F32"/>
      <c r="P32" s="8"/>
    </row>
    <row r="33" spans="1:16" x14ac:dyDescent="0.3">
      <c r="A33" s="1102"/>
      <c r="B33" s="193" t="s">
        <v>753</v>
      </c>
      <c r="C33"/>
      <c r="D33" s="1096"/>
      <c r="E33" s="174">
        <v>3.0000000000000001E-3</v>
      </c>
      <c r="F33"/>
      <c r="P33" s="8"/>
    </row>
    <row r="34" spans="1:16" x14ac:dyDescent="0.3">
      <c r="A34" s="1102"/>
      <c r="B34" s="193" t="s">
        <v>754</v>
      </c>
      <c r="C34"/>
      <c r="D34" s="1096"/>
      <c r="E34" s="174">
        <v>1E-3</v>
      </c>
      <c r="F34"/>
      <c r="P34" s="8"/>
    </row>
    <row r="35" spans="1:16" x14ac:dyDescent="0.3">
      <c r="A35" s="1102"/>
      <c r="B35" s="193" t="s">
        <v>755</v>
      </c>
      <c r="C35"/>
      <c r="D35" s="1096"/>
      <c r="E35" s="174">
        <v>1.2999999999999999E-2</v>
      </c>
      <c r="F35"/>
      <c r="P35" s="8"/>
    </row>
    <row r="36" spans="1:16" x14ac:dyDescent="0.3">
      <c r="A36" s="1102"/>
      <c r="B36" s="193" t="s">
        <v>619</v>
      </c>
      <c r="C36"/>
      <c r="D36" s="1096"/>
      <c r="E36" s="174">
        <v>2E-3</v>
      </c>
      <c r="F36"/>
      <c r="P36" s="8"/>
    </row>
    <row r="37" spans="1:16" x14ac:dyDescent="0.3">
      <c r="A37" s="1102"/>
      <c r="B37" s="193" t="s">
        <v>756</v>
      </c>
      <c r="C37"/>
      <c r="D37" s="1096"/>
      <c r="E37" s="174">
        <v>6.0000000000000001E-3</v>
      </c>
      <c r="F37"/>
      <c r="P37" s="8"/>
    </row>
    <row r="38" spans="1:16" x14ac:dyDescent="0.3">
      <c r="A38" s="1102"/>
      <c r="B38" s="193" t="s">
        <v>757</v>
      </c>
      <c r="C38"/>
      <c r="D38" s="1096"/>
      <c r="E38" s="174">
        <v>5.0000000000000001E-4</v>
      </c>
      <c r="F38"/>
      <c r="P38" s="8"/>
    </row>
    <row r="39" spans="1:16" x14ac:dyDescent="0.3">
      <c r="A39" s="1102"/>
      <c r="B39" s="193" t="s">
        <v>758</v>
      </c>
      <c r="C39"/>
      <c r="D39" s="1096"/>
      <c r="E39" s="174">
        <v>3.0000000000000001E-3</v>
      </c>
      <c r="F39"/>
      <c r="P39" s="8"/>
    </row>
    <row r="40" spans="1:16" x14ac:dyDescent="0.3">
      <c r="A40" s="1102"/>
      <c r="B40" s="193" t="s">
        <v>759</v>
      </c>
      <c r="C40"/>
      <c r="D40" s="1096"/>
      <c r="E40" s="174">
        <v>4.0000000000000001E-3</v>
      </c>
      <c r="F40"/>
      <c r="P40" s="8"/>
    </row>
    <row r="41" spans="1:16" x14ac:dyDescent="0.3">
      <c r="A41" s="1102"/>
      <c r="B41" s="193" t="s">
        <v>760</v>
      </c>
      <c r="C41"/>
      <c r="D41" s="1096"/>
      <c r="E41" s="174">
        <v>1.2999999999999999E-2</v>
      </c>
      <c r="F41"/>
      <c r="P41" s="8"/>
    </row>
    <row r="42" spans="1:16" x14ac:dyDescent="0.3">
      <c r="A42" s="1102"/>
      <c r="B42" s="193" t="s">
        <v>761</v>
      </c>
      <c r="C42"/>
      <c r="D42" s="1096"/>
      <c r="E42" s="174">
        <v>1.2E-2</v>
      </c>
      <c r="F42"/>
      <c r="P42" s="8"/>
    </row>
    <row r="43" spans="1:16" x14ac:dyDescent="0.3">
      <c r="A43" s="1102"/>
      <c r="B43" s="193" t="s">
        <v>680</v>
      </c>
      <c r="C43"/>
      <c r="D43" s="1096"/>
      <c r="E43" s="174">
        <v>5.0000000000000001E-4</v>
      </c>
      <c r="F43"/>
      <c r="P43" s="8"/>
    </row>
    <row r="44" spans="1:16" x14ac:dyDescent="0.3">
      <c r="A44" s="1102"/>
      <c r="B44" s="193" t="s">
        <v>762</v>
      </c>
      <c r="C44"/>
      <c r="D44" s="1096"/>
      <c r="E44" s="174">
        <v>5.0000000000000001E-4</v>
      </c>
      <c r="F44"/>
      <c r="P44" s="8"/>
    </row>
    <row r="45" spans="1:16" x14ac:dyDescent="0.3">
      <c r="A45" s="1102"/>
      <c r="B45" s="193" t="s">
        <v>763</v>
      </c>
      <c r="C45"/>
      <c r="D45" s="1096"/>
      <c r="E45" s="174">
        <v>5.0000000000000001E-4</v>
      </c>
      <c r="F45"/>
      <c r="P45" s="8"/>
    </row>
    <row r="46" spans="1:16" x14ac:dyDescent="0.3">
      <c r="A46" s="1102"/>
      <c r="B46" s="193" t="s">
        <v>764</v>
      </c>
      <c r="C46"/>
      <c r="D46" s="1096"/>
      <c r="E46" s="174">
        <v>5.0000000000000001E-4</v>
      </c>
      <c r="F46"/>
      <c r="P46" s="8"/>
    </row>
    <row r="47" spans="1:16" x14ac:dyDescent="0.3">
      <c r="A47" s="1102"/>
      <c r="B47" s="193" t="s">
        <v>765</v>
      </c>
      <c r="C47"/>
      <c r="D47" s="1096"/>
      <c r="E47" s="174">
        <v>5.0000000000000001E-4</v>
      </c>
      <c r="F47"/>
      <c r="P47" s="8"/>
    </row>
    <row r="48" spans="1:16" x14ac:dyDescent="0.3">
      <c r="A48" s="1102"/>
      <c r="B48" s="193" t="s">
        <v>766</v>
      </c>
      <c r="C48"/>
      <c r="D48" s="1096"/>
      <c r="E48" s="174">
        <v>3.0000000000000001E-3</v>
      </c>
      <c r="F48"/>
      <c r="P48" s="8"/>
    </row>
    <row r="49" spans="1:16" x14ac:dyDescent="0.3">
      <c r="A49" s="1102"/>
      <c r="B49" s="193" t="s">
        <v>767</v>
      </c>
      <c r="C49"/>
      <c r="D49" s="1096"/>
      <c r="E49" s="174">
        <v>6.0000000000000001E-3</v>
      </c>
      <c r="F49"/>
      <c r="P49" s="8"/>
    </row>
    <row r="50" spans="1:16" x14ac:dyDescent="0.3">
      <c r="A50" s="1102"/>
      <c r="B50" s="193" t="s">
        <v>768</v>
      </c>
      <c r="C50"/>
      <c r="D50" s="1096"/>
      <c r="E50" s="174">
        <v>2E-3</v>
      </c>
      <c r="F50"/>
      <c r="P50" s="8"/>
    </row>
    <row r="51" spans="1:16" x14ac:dyDescent="0.3">
      <c r="A51" s="1102"/>
      <c r="B51" s="193" t="s">
        <v>769</v>
      </c>
      <c r="C51"/>
      <c r="D51" s="1096"/>
      <c r="E51" s="174">
        <v>6.0000000000000001E-3</v>
      </c>
      <c r="F51"/>
      <c r="P51" s="8"/>
    </row>
    <row r="52" spans="1:16" x14ac:dyDescent="0.3">
      <c r="A52" s="1102"/>
      <c r="B52" s="193" t="s">
        <v>770</v>
      </c>
      <c r="C52"/>
      <c r="D52" s="1096"/>
      <c r="E52" s="174">
        <v>5.0000000000000001E-4</v>
      </c>
      <c r="F52"/>
      <c r="P52" s="8"/>
    </row>
    <row r="53" spans="1:16" x14ac:dyDescent="0.3">
      <c r="A53" s="1102"/>
      <c r="B53" s="193" t="s">
        <v>771</v>
      </c>
      <c r="C53"/>
      <c r="D53" s="1096"/>
      <c r="E53" s="174">
        <v>2E-3</v>
      </c>
      <c r="F53"/>
      <c r="P53" s="8"/>
    </row>
    <row r="54" spans="1:16" x14ac:dyDescent="0.3">
      <c r="A54" s="1102"/>
      <c r="B54" s="164" t="s">
        <v>772</v>
      </c>
      <c r="C54"/>
      <c r="D54" s="1104" t="s">
        <v>240</v>
      </c>
      <c r="E54" s="65">
        <v>3.5000000000000003E-2</v>
      </c>
      <c r="F54"/>
      <c r="P54" s="8"/>
    </row>
    <row r="55" spans="1:16" x14ac:dyDescent="0.3">
      <c r="A55" s="1102"/>
      <c r="B55" s="164" t="s">
        <v>773</v>
      </c>
      <c r="C55"/>
      <c r="D55" s="1104"/>
      <c r="E55" s="65">
        <v>5.0000000000000001E-4</v>
      </c>
      <c r="F55"/>
      <c r="P55" s="8"/>
    </row>
    <row r="56" spans="1:16" x14ac:dyDescent="0.3">
      <c r="A56" s="1102"/>
      <c r="B56" s="352" t="s">
        <v>774</v>
      </c>
      <c r="C56"/>
      <c r="D56" s="351" t="s">
        <v>267</v>
      </c>
      <c r="E56" s="351">
        <v>5.8999999999999997E-2</v>
      </c>
      <c r="F56"/>
      <c r="P56" s="8"/>
    </row>
    <row r="57" spans="1:16" x14ac:dyDescent="0.3">
      <c r="A57" s="1102"/>
      <c r="B57" s="88" t="s">
        <v>775</v>
      </c>
      <c r="C57"/>
      <c r="D57" s="79" t="s">
        <v>262</v>
      </c>
      <c r="E57" s="79">
        <v>7.0000000000000001E-3</v>
      </c>
      <c r="F57"/>
      <c r="P57" s="8"/>
    </row>
    <row r="58" spans="1:16" x14ac:dyDescent="0.3">
      <c r="A58" s="1102"/>
      <c r="B58" s="112"/>
      <c r="C58"/>
      <c r="D58" s="383" t="s">
        <v>256</v>
      </c>
      <c r="E58" s="384">
        <v>6.9999999999999999E-4</v>
      </c>
      <c r="F58"/>
      <c r="P58" s="8"/>
    </row>
    <row r="59" spans="1:16" x14ac:dyDescent="0.3">
      <c r="A59" s="1102"/>
      <c r="B59" s="112"/>
      <c r="C59"/>
      <c r="D59" s="119"/>
      <c r="E59" s="119"/>
      <c r="F59"/>
      <c r="P59" s="8"/>
    </row>
    <row r="60" spans="1:16" ht="15" thickBot="1" x14ac:dyDescent="0.35">
      <c r="A60" s="1103"/>
      <c r="B60" s="89"/>
      <c r="C60" s="9"/>
      <c r="D60" s="91"/>
      <c r="E60" s="91"/>
      <c r="F60" s="9"/>
      <c r="G60" s="9"/>
      <c r="H60" s="9"/>
      <c r="I60" s="9"/>
      <c r="J60" s="9"/>
      <c r="K60" s="9"/>
      <c r="L60" s="9"/>
      <c r="M60" s="9"/>
      <c r="N60" s="9"/>
      <c r="O60" s="9"/>
      <c r="P60" s="10"/>
    </row>
    <row r="61" spans="1:16" x14ac:dyDescent="0.3">
      <c r="A61"/>
      <c r="C61"/>
      <c r="E61"/>
      <c r="F61"/>
    </row>
    <row r="62" spans="1:16" x14ac:dyDescent="0.3">
      <c r="A62"/>
      <c r="C62"/>
      <c r="E62"/>
      <c r="F62"/>
    </row>
    <row r="63" spans="1:16" x14ac:dyDescent="0.3">
      <c r="A63"/>
      <c r="C63"/>
      <c r="E63"/>
      <c r="F63"/>
    </row>
    <row r="64" spans="1:16" x14ac:dyDescent="0.3">
      <c r="A64"/>
      <c r="C64"/>
      <c r="E64"/>
      <c r="F64"/>
    </row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ht="15" customHeigh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ht="15" customHeight="1" x14ac:dyDescent="0.3"/>
    <row r="103" customFormat="1" x14ac:dyDescent="0.3"/>
    <row r="104" customFormat="1" x14ac:dyDescent="0.3"/>
    <row r="105" customFormat="1" x14ac:dyDescent="0.3"/>
    <row r="106" customFormat="1" ht="15" customHeight="1" x14ac:dyDescent="0.3"/>
    <row r="107" customFormat="1" x14ac:dyDescent="0.3"/>
    <row r="108" customFormat="1" x14ac:dyDescent="0.3"/>
    <row r="109" customFormat="1" ht="15" customHeigh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ht="15" customHeight="1" x14ac:dyDescent="0.3"/>
    <row r="145" customFormat="1" x14ac:dyDescent="0.3"/>
    <row r="146" customFormat="1" x14ac:dyDescent="0.3"/>
    <row r="147" customFormat="1" ht="15" customHeigh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ht="15" customHeigh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customFormat="1" x14ac:dyDescent="0.3"/>
    <row r="162" customFormat="1" x14ac:dyDescent="0.3"/>
    <row r="163" customFormat="1" x14ac:dyDescent="0.3"/>
    <row r="164" customFormat="1" x14ac:dyDescent="0.3"/>
    <row r="165" customFormat="1" x14ac:dyDescent="0.3"/>
    <row r="166" customFormat="1" x14ac:dyDescent="0.3"/>
    <row r="167" customFormat="1" x14ac:dyDescent="0.3"/>
    <row r="168" customFormat="1" x14ac:dyDescent="0.3"/>
    <row r="169" customFormat="1" x14ac:dyDescent="0.3"/>
    <row r="170" customFormat="1" x14ac:dyDescent="0.3"/>
    <row r="171" customFormat="1" x14ac:dyDescent="0.3"/>
    <row r="172" customFormat="1" x14ac:dyDescent="0.3"/>
    <row r="173" customFormat="1" x14ac:dyDescent="0.3"/>
    <row r="174" customFormat="1" x14ac:dyDescent="0.3"/>
    <row r="175" customFormat="1" ht="15" customHeight="1" x14ac:dyDescent="0.3"/>
    <row r="176" customFormat="1" x14ac:dyDescent="0.3"/>
    <row r="177" spans="1:6" customFormat="1" x14ac:dyDescent="0.3"/>
    <row r="178" spans="1:6" customFormat="1" x14ac:dyDescent="0.3"/>
    <row r="179" spans="1:6" customFormat="1" x14ac:dyDescent="0.3"/>
    <row r="180" spans="1:6" customFormat="1" x14ac:dyDescent="0.3"/>
    <row r="181" spans="1:6" customFormat="1" x14ac:dyDescent="0.3"/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  <row r="238" spans="1:6" x14ac:dyDescent="0.3">
      <c r="A238"/>
      <c r="C238" s="3"/>
      <c r="E238" s="1"/>
      <c r="F238"/>
    </row>
    <row r="239" spans="1:6" ht="15" customHeight="1" x14ac:dyDescent="0.3">
      <c r="A239"/>
      <c r="C239" s="3"/>
      <c r="E239" s="1"/>
      <c r="F239"/>
    </row>
    <row r="240" spans="1:6" x14ac:dyDescent="0.3">
      <c r="A240"/>
      <c r="C240" s="3"/>
      <c r="E240" s="1"/>
      <c r="F240"/>
    </row>
    <row r="241" spans="1:6" x14ac:dyDescent="0.3">
      <c r="A241"/>
      <c r="C241" s="3"/>
      <c r="E241" s="1"/>
      <c r="F241"/>
    </row>
    <row r="242" spans="1:6" x14ac:dyDescent="0.3">
      <c r="A242"/>
      <c r="C242" s="3"/>
      <c r="E242" s="1"/>
      <c r="F242"/>
    </row>
    <row r="243" spans="1:6" x14ac:dyDescent="0.3">
      <c r="A243"/>
      <c r="C243" s="3"/>
      <c r="E243" s="1"/>
      <c r="F243"/>
    </row>
    <row r="244" spans="1:6" x14ac:dyDescent="0.3">
      <c r="A244"/>
      <c r="C244" s="3"/>
      <c r="E244" s="1"/>
      <c r="F244"/>
    </row>
    <row r="245" spans="1:6" x14ac:dyDescent="0.3">
      <c r="A245"/>
      <c r="C245" s="3"/>
      <c r="E245" s="1"/>
      <c r="F245"/>
    </row>
    <row r="246" spans="1:6" x14ac:dyDescent="0.3">
      <c r="A246"/>
      <c r="C246" s="3"/>
      <c r="E246" s="1"/>
      <c r="F246"/>
    </row>
    <row r="247" spans="1:6" x14ac:dyDescent="0.3">
      <c r="A247"/>
      <c r="C247" s="3"/>
      <c r="E247" s="1"/>
      <c r="F247"/>
    </row>
    <row r="248" spans="1:6" x14ac:dyDescent="0.3">
      <c r="A248"/>
      <c r="C248" s="3"/>
      <c r="E248" s="1"/>
      <c r="F248"/>
    </row>
    <row r="249" spans="1:6" x14ac:dyDescent="0.3">
      <c r="A249"/>
      <c r="C249" s="3"/>
      <c r="E249" s="1"/>
      <c r="F249"/>
    </row>
    <row r="250" spans="1:6" x14ac:dyDescent="0.3">
      <c r="A250"/>
      <c r="C250" s="3"/>
      <c r="E250" s="1"/>
      <c r="F250"/>
    </row>
    <row r="251" spans="1:6" x14ac:dyDescent="0.3">
      <c r="A251"/>
      <c r="C251" s="3"/>
      <c r="E251" s="1"/>
      <c r="F251"/>
    </row>
    <row r="252" spans="1:6" x14ac:dyDescent="0.3">
      <c r="A252"/>
      <c r="C252" s="3"/>
      <c r="E252" s="1"/>
      <c r="F252"/>
    </row>
    <row r="253" spans="1:6" x14ac:dyDescent="0.3">
      <c r="A253"/>
      <c r="C253" s="3"/>
      <c r="E253" s="1"/>
      <c r="F253"/>
    </row>
    <row r="254" spans="1:6" x14ac:dyDescent="0.3">
      <c r="A254"/>
      <c r="C254" s="3"/>
      <c r="E254" s="1"/>
      <c r="F254"/>
    </row>
    <row r="255" spans="1:6" ht="15" customHeight="1" x14ac:dyDescent="0.3">
      <c r="A255"/>
      <c r="C255" s="3"/>
      <c r="E255" s="1"/>
      <c r="F255"/>
    </row>
    <row r="256" spans="1:6" x14ac:dyDescent="0.3">
      <c r="A256"/>
      <c r="C256" s="3"/>
      <c r="E256" s="1"/>
      <c r="F256"/>
    </row>
    <row r="257" spans="1:6" x14ac:dyDescent="0.3">
      <c r="A257"/>
      <c r="C257" s="3"/>
      <c r="E257" s="1"/>
      <c r="F257"/>
    </row>
    <row r="258" spans="1:6" x14ac:dyDescent="0.3">
      <c r="A258"/>
      <c r="C258" s="3"/>
      <c r="E258" s="1"/>
      <c r="F258"/>
    </row>
    <row r="259" spans="1:6" x14ac:dyDescent="0.3">
      <c r="A259"/>
      <c r="C259" s="3"/>
      <c r="E259" s="1"/>
      <c r="F259"/>
    </row>
    <row r="260" spans="1:6" x14ac:dyDescent="0.3">
      <c r="A260"/>
      <c r="C260" s="3"/>
      <c r="E260" s="1"/>
      <c r="F260"/>
    </row>
    <row r="261" spans="1:6" x14ac:dyDescent="0.3">
      <c r="A261"/>
      <c r="C261" s="3"/>
      <c r="E261" s="1"/>
      <c r="F261"/>
    </row>
    <row r="262" spans="1:6" x14ac:dyDescent="0.3">
      <c r="A262"/>
      <c r="C262" s="3"/>
      <c r="E262" s="1"/>
      <c r="F262"/>
    </row>
    <row r="263" spans="1:6" x14ac:dyDescent="0.3">
      <c r="A263"/>
      <c r="C263" s="3"/>
      <c r="E263" s="1"/>
      <c r="F263"/>
    </row>
    <row r="264" spans="1:6" x14ac:dyDescent="0.3">
      <c r="A264"/>
      <c r="C264" s="3"/>
      <c r="E264" s="1"/>
      <c r="F264"/>
    </row>
    <row r="265" spans="1:6" x14ac:dyDescent="0.3">
      <c r="A265"/>
      <c r="C265" s="3"/>
      <c r="E265" s="1"/>
      <c r="F265"/>
    </row>
    <row r="266" spans="1:6" x14ac:dyDescent="0.3">
      <c r="A266"/>
      <c r="C266" s="3"/>
      <c r="E266" s="1"/>
      <c r="F266"/>
    </row>
    <row r="267" spans="1:6" x14ac:dyDescent="0.3">
      <c r="A267"/>
      <c r="C267" s="3"/>
      <c r="E267" s="1"/>
      <c r="F267"/>
    </row>
    <row r="268" spans="1:6" x14ac:dyDescent="0.3">
      <c r="A268"/>
      <c r="C268" s="3"/>
      <c r="E268" s="1"/>
      <c r="F268"/>
    </row>
    <row r="269" spans="1:6" x14ac:dyDescent="0.3">
      <c r="A269"/>
      <c r="C269" s="3"/>
      <c r="E269" s="1"/>
      <c r="F269"/>
    </row>
  </sheetData>
  <mergeCells count="15">
    <mergeCell ref="A15:A60"/>
    <mergeCell ref="D29:D31"/>
    <mergeCell ref="D32:D53"/>
    <mergeCell ref="A3:A13"/>
    <mergeCell ref="B3:B13"/>
    <mergeCell ref="D24:D27"/>
    <mergeCell ref="C3:C13"/>
    <mergeCell ref="D54:D55"/>
    <mergeCell ref="D16:D23"/>
    <mergeCell ref="G1:J1"/>
    <mergeCell ref="M3:M13"/>
    <mergeCell ref="O3:O13"/>
    <mergeCell ref="P3:P13"/>
    <mergeCell ref="K3:K13"/>
    <mergeCell ref="L3:L13"/>
  </mergeCell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Feuil8"/>
  <dimension ref="A1:O271"/>
  <sheetViews>
    <sheetView topLeftCell="E1" zoomScale="70" zoomScaleNormal="70" workbookViewId="0">
      <selection activeCell="F3" sqref="F3:I4"/>
    </sheetView>
  </sheetViews>
  <sheetFormatPr baseColWidth="10" defaultColWidth="11.44140625" defaultRowHeight="14.4" x14ac:dyDescent="0.3"/>
  <cols>
    <col min="1" max="1" width="33.4414062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26" style="1" bestFit="1" customWidth="1"/>
    <col min="7" max="7" width="21.6640625" bestFit="1" customWidth="1"/>
    <col min="8" max="8" width="16.88671875" bestFit="1" customWidth="1"/>
    <col min="9" max="9" width="12" bestFit="1" customWidth="1"/>
    <col min="10" max="10" width="30.109375" bestFit="1" customWidth="1"/>
    <col min="11" max="11" width="36" bestFit="1" customWidth="1"/>
    <col min="12" max="12" width="20.109375" bestFit="1" customWidth="1"/>
    <col min="13" max="13" width="29.6640625" bestFit="1" customWidth="1"/>
    <col min="14" max="14" width="45.109375" bestFit="1" customWidth="1"/>
    <col min="15" max="15" width="16" customWidth="1"/>
  </cols>
  <sheetData>
    <row r="1" spans="1:15" ht="15" thickBot="1" x14ac:dyDescent="0.35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720" t="s">
        <v>529</v>
      </c>
      <c r="G1" s="1143" t="s">
        <v>530</v>
      </c>
      <c r="H1" s="1091"/>
      <c r="I1" s="1091"/>
      <c r="J1" s="1144"/>
      <c r="K1" s="30" t="s">
        <v>11</v>
      </c>
      <c r="L1" s="30" t="s">
        <v>12</v>
      </c>
      <c r="M1" s="30" t="s">
        <v>13</v>
      </c>
      <c r="N1" s="30" t="s">
        <v>16</v>
      </c>
      <c r="O1" s="30" t="s">
        <v>17</v>
      </c>
    </row>
    <row r="2" spans="1:15" ht="15" thickBot="1" x14ac:dyDescent="0.35">
      <c r="A2" s="31"/>
      <c r="B2" s="113" t="s">
        <v>776</v>
      </c>
      <c r="C2" s="49"/>
      <c r="D2" s="34"/>
      <c r="E2" s="33"/>
      <c r="F2" s="720" t="s">
        <v>402</v>
      </c>
      <c r="G2" s="747" t="s">
        <v>530</v>
      </c>
      <c r="H2" s="636" t="s">
        <v>404</v>
      </c>
      <c r="I2" s="747" t="s">
        <v>406</v>
      </c>
      <c r="J2" s="742" t="s">
        <v>407</v>
      </c>
      <c r="K2" s="34"/>
      <c r="L2" s="34"/>
      <c r="M2" s="34"/>
      <c r="N2" s="34"/>
      <c r="O2" s="34"/>
    </row>
    <row r="3" spans="1:15" ht="15.75" customHeight="1" thickBot="1" x14ac:dyDescent="0.35">
      <c r="A3" s="1071" t="s">
        <v>72</v>
      </c>
      <c r="B3" s="1025" t="s">
        <v>73</v>
      </c>
      <c r="C3" s="1045" t="s">
        <v>414</v>
      </c>
      <c r="D3" s="448" t="s">
        <v>234</v>
      </c>
      <c r="E3" s="125">
        <f>SUM(E4:E12)</f>
        <v>6.8658381000000004</v>
      </c>
      <c r="F3" s="702">
        <f>SUM(F4:F6)</f>
        <v>68.563999999999993</v>
      </c>
      <c r="G3" s="702"/>
      <c r="H3" s="702">
        <f>SUM(H4:H6)</f>
        <v>72.376000000000005</v>
      </c>
      <c r="I3" s="702">
        <f>SUM(I4:I6)</f>
        <v>0.19700000000000001</v>
      </c>
      <c r="J3" s="706"/>
      <c r="K3" s="1007" t="s">
        <v>414</v>
      </c>
      <c r="L3" s="1007" t="s">
        <v>61</v>
      </c>
      <c r="M3" s="1016" t="s">
        <v>62</v>
      </c>
      <c r="N3" s="1016">
        <v>364</v>
      </c>
      <c r="O3" s="1136" t="s">
        <v>30</v>
      </c>
    </row>
    <row r="4" spans="1:15" x14ac:dyDescent="0.3">
      <c r="A4" s="1113"/>
      <c r="B4" s="1026"/>
      <c r="C4" s="1046"/>
      <c r="D4" s="133" t="s">
        <v>47</v>
      </c>
      <c r="E4" s="71">
        <f>SUM(E16:E26)</f>
        <v>3.9560000000000004</v>
      </c>
      <c r="F4" s="162">
        <f>SUM(F16:F24)</f>
        <v>68.563999999999993</v>
      </c>
      <c r="G4" s="162"/>
      <c r="H4" s="162">
        <f>SUM(H16:H24,H42:H46,H76,H108,H114,H131,H150:H151)</f>
        <v>72.376000000000005</v>
      </c>
      <c r="I4" s="162">
        <f>SUM(I17)</f>
        <v>0.19700000000000001</v>
      </c>
      <c r="J4" s="165" t="s">
        <v>51</v>
      </c>
      <c r="K4" s="1008"/>
      <c r="L4" s="1008"/>
      <c r="M4" s="1017"/>
      <c r="N4" s="1017"/>
      <c r="O4" s="1137"/>
    </row>
    <row r="5" spans="1:15" x14ac:dyDescent="0.3">
      <c r="A5" s="1113"/>
      <c r="B5" s="1026"/>
      <c r="C5" s="1046"/>
      <c r="D5" s="134" t="s">
        <v>91</v>
      </c>
      <c r="E5" s="277">
        <f>SUM(E27:E29)</f>
        <v>2.4569999999999999</v>
      </c>
      <c r="F5" s="694"/>
      <c r="G5" s="662"/>
      <c r="H5" s="662"/>
      <c r="I5" s="662"/>
      <c r="J5" s="8"/>
      <c r="K5" s="1008"/>
      <c r="L5" s="1008"/>
      <c r="M5" s="1017"/>
      <c r="N5" s="1017"/>
      <c r="O5" s="1137"/>
    </row>
    <row r="6" spans="1:15" x14ac:dyDescent="0.3">
      <c r="A6" s="1113"/>
      <c r="B6" s="1026"/>
      <c r="C6" s="1046"/>
      <c r="D6" s="178" t="s">
        <v>270</v>
      </c>
      <c r="E6" s="179">
        <f>SUM(E30)</f>
        <v>8.0000000000000002E-3</v>
      </c>
      <c r="F6" s="694"/>
      <c r="G6" s="662"/>
      <c r="H6" s="662"/>
      <c r="I6" s="662"/>
      <c r="J6" s="8"/>
      <c r="K6" s="1008"/>
      <c r="L6" s="1008"/>
      <c r="M6" s="1017"/>
      <c r="N6" s="1017"/>
      <c r="O6" s="1137"/>
    </row>
    <row r="7" spans="1:15" x14ac:dyDescent="0.3">
      <c r="A7" s="1113"/>
      <c r="B7" s="1026"/>
      <c r="C7" s="1046"/>
      <c r="D7" s="135" t="s">
        <v>244</v>
      </c>
      <c r="E7" s="78">
        <f>SUM(E31:E36)</f>
        <v>9.2800000000000001E-3</v>
      </c>
      <c r="F7" s="694"/>
      <c r="G7" s="662"/>
      <c r="H7" s="662"/>
      <c r="I7" s="662"/>
      <c r="J7" s="8"/>
      <c r="K7" s="1008"/>
      <c r="L7" s="1008"/>
      <c r="M7" s="1017"/>
      <c r="N7" s="1017"/>
      <c r="O7" s="1137"/>
    </row>
    <row r="8" spans="1:15" x14ac:dyDescent="0.3">
      <c r="A8" s="1113"/>
      <c r="B8" s="1026"/>
      <c r="C8" s="1046"/>
      <c r="D8" s="136" t="s">
        <v>253</v>
      </c>
      <c r="E8" s="73">
        <f>SUM(E37:E52)</f>
        <v>9.4358100000000014E-2</v>
      </c>
      <c r="F8" s="694"/>
      <c r="G8" s="662"/>
      <c r="H8" s="662"/>
      <c r="I8" s="662"/>
      <c r="J8" s="8"/>
      <c r="K8" s="1008"/>
      <c r="L8" s="1008"/>
      <c r="M8" s="1017"/>
      <c r="N8" s="1017"/>
      <c r="O8" s="1137"/>
    </row>
    <row r="9" spans="1:15" x14ac:dyDescent="0.3">
      <c r="A9" s="1113"/>
      <c r="B9" s="1026"/>
      <c r="C9" s="1046"/>
      <c r="D9" s="388" t="s">
        <v>240</v>
      </c>
      <c r="E9" s="65">
        <f>SUM(E54:E56)</f>
        <v>9.4500000000000001E-2</v>
      </c>
      <c r="F9" s="694"/>
      <c r="G9" s="662"/>
      <c r="H9" s="662"/>
      <c r="I9" s="662"/>
      <c r="J9" s="8"/>
      <c r="K9" s="1008"/>
      <c r="L9" s="1008"/>
      <c r="M9" s="1145"/>
      <c r="N9" s="1145"/>
      <c r="O9" s="1142"/>
    </row>
    <row r="10" spans="1:15" x14ac:dyDescent="0.3">
      <c r="A10" s="1113"/>
      <c r="B10" s="1026"/>
      <c r="C10" s="1046"/>
      <c r="D10" s="96" t="s">
        <v>262</v>
      </c>
      <c r="E10" s="79">
        <f>SUM(E57:E59)</f>
        <v>0.02</v>
      </c>
      <c r="F10" s="694"/>
      <c r="G10" s="662"/>
      <c r="H10" s="662"/>
      <c r="I10" s="662"/>
      <c r="J10" s="8"/>
      <c r="K10" s="1008"/>
      <c r="L10" s="1008"/>
      <c r="M10" s="1145"/>
      <c r="N10" s="1145"/>
      <c r="O10" s="1142"/>
    </row>
    <row r="11" spans="1:15" x14ac:dyDescent="0.3">
      <c r="A11" s="1113"/>
      <c r="B11" s="1026"/>
      <c r="C11" s="1046"/>
      <c r="D11" s="408" t="s">
        <v>335</v>
      </c>
      <c r="E11" s="351">
        <f>SUM(E61)</f>
        <v>0.22600000000000001</v>
      </c>
      <c r="F11" s="694"/>
      <c r="G11" s="662"/>
      <c r="H11" s="662"/>
      <c r="I11" s="662"/>
      <c r="J11" s="8"/>
      <c r="K11" s="1008"/>
      <c r="L11" s="1008"/>
      <c r="M11" s="1145"/>
      <c r="N11" s="1145"/>
      <c r="O11" s="1142"/>
    </row>
    <row r="12" spans="1:15" x14ac:dyDescent="0.3">
      <c r="A12" s="1113"/>
      <c r="B12" s="1026"/>
      <c r="C12" s="1046"/>
      <c r="D12" s="406" t="s">
        <v>256</v>
      </c>
      <c r="E12" s="384">
        <f>SUM(E60)</f>
        <v>6.9999999999999999E-4</v>
      </c>
      <c r="F12" s="694"/>
      <c r="G12" s="662"/>
      <c r="H12" s="662"/>
      <c r="I12" s="662"/>
      <c r="J12" s="8"/>
      <c r="K12" s="1008"/>
      <c r="L12" s="1008"/>
      <c r="M12" s="1145"/>
      <c r="N12" s="1145"/>
      <c r="O12" s="1142"/>
    </row>
    <row r="13" spans="1:15" ht="15" thickBot="1" x14ac:dyDescent="0.35">
      <c r="A13" s="1072"/>
      <c r="B13" s="1027"/>
      <c r="C13" s="1047"/>
      <c r="D13" s="137"/>
      <c r="E13" s="53"/>
      <c r="F13" s="695"/>
      <c r="G13" s="91"/>
      <c r="H13" s="91"/>
      <c r="I13" s="91"/>
      <c r="J13" s="10"/>
      <c r="K13" s="1009"/>
      <c r="L13" s="1009"/>
      <c r="M13" s="1018"/>
      <c r="N13" s="1018"/>
      <c r="O13" s="1138"/>
    </row>
    <row r="14" spans="1:15" ht="15" thickBot="1" x14ac:dyDescent="0.35">
      <c r="A14"/>
      <c r="C14" s="3"/>
      <c r="E14" s="1"/>
      <c r="F14"/>
    </row>
    <row r="15" spans="1:15" ht="15" thickBot="1" x14ac:dyDescent="0.35">
      <c r="A15" s="1101" t="s">
        <v>72</v>
      </c>
      <c r="B15" s="83" t="s">
        <v>70</v>
      </c>
      <c r="C15" s="44"/>
      <c r="D15" s="90" t="s">
        <v>532</v>
      </c>
      <c r="E15" s="92">
        <f>SUM(E16:E61)</f>
        <v>6.8658380999999995</v>
      </c>
      <c r="F15" s="735" t="s">
        <v>402</v>
      </c>
      <c r="G15" s="735" t="s">
        <v>530</v>
      </c>
      <c r="H15" s="735" t="s">
        <v>404</v>
      </c>
      <c r="I15" s="735" t="s">
        <v>406</v>
      </c>
      <c r="J15" s="735" t="s">
        <v>407</v>
      </c>
      <c r="K15" s="38"/>
      <c r="L15" s="5"/>
      <c r="M15" s="5"/>
      <c r="N15" s="5"/>
      <c r="O15" s="6"/>
    </row>
    <row r="16" spans="1:15" ht="15" thickBot="1" x14ac:dyDescent="0.35">
      <c r="A16" s="1102"/>
      <c r="B16" s="126" t="s">
        <v>777</v>
      </c>
      <c r="C16" s="69"/>
      <c r="D16" s="1093" t="s">
        <v>47</v>
      </c>
      <c r="E16" s="166">
        <v>1.5569999999999999</v>
      </c>
      <c r="F16" s="727">
        <f>SUM(H16-E16)</f>
        <v>46.958999999999996</v>
      </c>
      <c r="G16" s="727" t="s">
        <v>778</v>
      </c>
      <c r="H16" s="727">
        <v>48.515999999999998</v>
      </c>
      <c r="I16" s="727">
        <v>0.29199999999999998</v>
      </c>
      <c r="J16" s="727" t="s">
        <v>51</v>
      </c>
      <c r="K16" s="3"/>
      <c r="O16" s="8"/>
    </row>
    <row r="17" spans="1:15" ht="15" thickBot="1" x14ac:dyDescent="0.35">
      <c r="A17" s="1102"/>
      <c r="B17" s="126" t="s">
        <v>779</v>
      </c>
      <c r="C17" s="69"/>
      <c r="D17" s="1093"/>
      <c r="E17" s="166">
        <v>1.0249999999999999</v>
      </c>
      <c r="F17" s="727">
        <f>SUM(H17-E17)</f>
        <v>10.985999999999999</v>
      </c>
      <c r="G17" s="727" t="s">
        <v>780</v>
      </c>
      <c r="H17" s="728">
        <v>12.010999999999999</v>
      </c>
      <c r="I17" s="727">
        <v>0.19700000000000001</v>
      </c>
      <c r="J17" s="727" t="s">
        <v>51</v>
      </c>
      <c r="K17" s="3"/>
      <c r="O17" s="8"/>
    </row>
    <row r="18" spans="1:15" ht="15" thickBot="1" x14ac:dyDescent="0.35">
      <c r="A18" s="1102"/>
      <c r="B18" s="126" t="s">
        <v>781</v>
      </c>
      <c r="C18" s="69"/>
      <c r="D18" s="1093"/>
      <c r="E18" s="166">
        <v>7.5999999999999998E-2</v>
      </c>
      <c r="F18" s="195"/>
      <c r="G18" s="195"/>
      <c r="H18" s="195"/>
      <c r="I18" s="195"/>
      <c r="J18" s="195"/>
      <c r="K18" s="3"/>
      <c r="O18" s="8"/>
    </row>
    <row r="19" spans="1:15" ht="15" thickBot="1" x14ac:dyDescent="0.35">
      <c r="A19" s="1102"/>
      <c r="B19" s="126" t="s">
        <v>782</v>
      </c>
      <c r="C19" s="69"/>
      <c r="D19" s="1093"/>
      <c r="E19" s="166">
        <v>0.53900000000000003</v>
      </c>
      <c r="F19" s="727">
        <f>SUM(H19-E19)</f>
        <v>5.0060000000000002</v>
      </c>
      <c r="G19" s="727" t="s">
        <v>783</v>
      </c>
      <c r="H19" s="728">
        <v>5.5449999999999999</v>
      </c>
      <c r="I19" s="727">
        <v>8.6999999999999994E-2</v>
      </c>
      <c r="J19" s="727" t="s">
        <v>51</v>
      </c>
      <c r="K19" s="3"/>
      <c r="O19" s="8"/>
    </row>
    <row r="20" spans="1:15" ht="15" thickBot="1" x14ac:dyDescent="0.35">
      <c r="A20" s="1102"/>
      <c r="B20" s="126" t="s">
        <v>784</v>
      </c>
      <c r="C20" s="69"/>
      <c r="D20" s="1093"/>
      <c r="E20" s="166">
        <v>0.66800000000000004</v>
      </c>
      <c r="F20" s="727">
        <f>SUM(H20-E20)</f>
        <v>5.3650000000000002</v>
      </c>
      <c r="G20" s="727" t="s">
        <v>785</v>
      </c>
      <c r="H20" s="727">
        <v>6.0330000000000004</v>
      </c>
      <c r="I20" s="727">
        <v>9.9000000000000005E-2</v>
      </c>
      <c r="J20" s="749" t="s">
        <v>51</v>
      </c>
      <c r="K20" s="3"/>
      <c r="O20" s="8"/>
    </row>
    <row r="21" spans="1:15" x14ac:dyDescent="0.3">
      <c r="A21" s="1102"/>
      <c r="B21" s="126" t="s">
        <v>786</v>
      </c>
      <c r="C21" s="69"/>
      <c r="D21" s="1093"/>
      <c r="E21" s="166">
        <v>3.1E-2</v>
      </c>
      <c r="F21" s="195"/>
      <c r="G21" s="195"/>
      <c r="H21" s="493"/>
      <c r="I21" s="493"/>
      <c r="J21" s="493"/>
      <c r="K21" s="3"/>
      <c r="O21" s="8"/>
    </row>
    <row r="22" spans="1:15" x14ac:dyDescent="0.3">
      <c r="A22" s="1102"/>
      <c r="B22" s="126" t="s">
        <v>787</v>
      </c>
      <c r="C22" s="69"/>
      <c r="D22" s="1093"/>
      <c r="E22" s="166">
        <v>7.0000000000000001E-3</v>
      </c>
      <c r="F22" s="195"/>
      <c r="G22" s="195"/>
      <c r="H22" s="493"/>
      <c r="I22" s="493"/>
      <c r="J22" s="493"/>
      <c r="K22" s="3"/>
      <c r="O22" s="8"/>
    </row>
    <row r="23" spans="1:15" ht="15" thickBot="1" x14ac:dyDescent="0.35">
      <c r="A23" s="1102"/>
      <c r="B23" s="126" t="s">
        <v>788</v>
      </c>
      <c r="C23" s="69"/>
      <c r="D23" s="1093"/>
      <c r="E23" s="166">
        <v>1.0999999999999999E-2</v>
      </c>
      <c r="F23" s="195"/>
      <c r="G23" s="195"/>
      <c r="H23" s="493"/>
      <c r="I23" s="493"/>
      <c r="J23" s="493"/>
      <c r="K23" s="3"/>
      <c r="O23" s="8"/>
    </row>
    <row r="24" spans="1:15" ht="15" thickBot="1" x14ac:dyDescent="0.35">
      <c r="A24" s="1102"/>
      <c r="B24" s="126" t="s">
        <v>789</v>
      </c>
      <c r="C24" s="69"/>
      <c r="D24" s="1093"/>
      <c r="E24" s="166">
        <v>2.3E-2</v>
      </c>
      <c r="F24" s="727">
        <f>SUM(H24-E24)</f>
        <v>0.24800000000000003</v>
      </c>
      <c r="G24" s="727" t="s">
        <v>790</v>
      </c>
      <c r="H24" s="727">
        <v>0.27100000000000002</v>
      </c>
      <c r="I24" s="727">
        <v>5.0000000000000001E-3</v>
      </c>
      <c r="J24" s="749" t="s">
        <v>51</v>
      </c>
      <c r="K24" s="3"/>
      <c r="O24" s="8"/>
    </row>
    <row r="25" spans="1:15" x14ac:dyDescent="0.3">
      <c r="A25" s="1102"/>
      <c r="B25" s="126" t="s">
        <v>791</v>
      </c>
      <c r="C25" s="69"/>
      <c r="D25" s="1093"/>
      <c r="E25" s="166">
        <v>2E-3</v>
      </c>
      <c r="F25" s="493"/>
      <c r="G25" s="493"/>
      <c r="H25" s="493"/>
      <c r="I25" s="493"/>
      <c r="J25" s="493"/>
      <c r="K25" s="3"/>
      <c r="O25" s="8"/>
    </row>
    <row r="26" spans="1:15" x14ac:dyDescent="0.3">
      <c r="A26" s="1102"/>
      <c r="B26" s="126" t="s">
        <v>792</v>
      </c>
      <c r="C26" s="69"/>
      <c r="D26" s="1093"/>
      <c r="E26" s="166">
        <v>1.7000000000000001E-2</v>
      </c>
      <c r="F26" s="493"/>
      <c r="G26" s="493"/>
      <c r="H26" s="493"/>
      <c r="I26" s="493"/>
      <c r="J26" s="493"/>
      <c r="K26" s="3"/>
      <c r="O26" s="8"/>
    </row>
    <row r="27" spans="1:15" x14ac:dyDescent="0.3">
      <c r="A27" s="1102"/>
      <c r="B27" s="103" t="s">
        <v>793</v>
      </c>
      <c r="C27" s="3"/>
      <c r="D27" s="1149" t="s">
        <v>91</v>
      </c>
      <c r="E27" s="159">
        <v>1.0589999999999999</v>
      </c>
      <c r="F27"/>
      <c r="O27" s="8"/>
    </row>
    <row r="28" spans="1:15" x14ac:dyDescent="0.3">
      <c r="A28" s="1102"/>
      <c r="B28" s="103" t="s">
        <v>794</v>
      </c>
      <c r="C28" s="3"/>
      <c r="D28" s="1149"/>
      <c r="E28" s="159">
        <v>0.68799999999999994</v>
      </c>
      <c r="F28"/>
      <c r="O28" s="8"/>
    </row>
    <row r="29" spans="1:15" x14ac:dyDescent="0.3">
      <c r="A29" s="1102"/>
      <c r="B29" s="103" t="s">
        <v>795</v>
      </c>
      <c r="C29" s="3"/>
      <c r="D29" s="1149"/>
      <c r="E29" s="159">
        <v>0.71</v>
      </c>
      <c r="F29"/>
      <c r="O29" s="8"/>
    </row>
    <row r="30" spans="1:15" x14ac:dyDescent="0.3">
      <c r="A30" s="1102"/>
      <c r="B30" s="182" t="s">
        <v>796</v>
      </c>
      <c r="C30" s="3"/>
      <c r="D30" s="180" t="s">
        <v>270</v>
      </c>
      <c r="E30" s="181">
        <v>8.0000000000000002E-3</v>
      </c>
      <c r="F30"/>
      <c r="O30" s="8"/>
    </row>
    <row r="31" spans="1:15" x14ac:dyDescent="0.3">
      <c r="A31" s="1102"/>
      <c r="B31" s="85" t="s">
        <v>797</v>
      </c>
      <c r="C31" s="3"/>
      <c r="D31" s="1147" t="s">
        <v>244</v>
      </c>
      <c r="E31" s="114">
        <v>2.5999999999999998E-4</v>
      </c>
      <c r="F31"/>
      <c r="O31" s="8"/>
    </row>
    <row r="32" spans="1:15" x14ac:dyDescent="0.3">
      <c r="A32" s="1102"/>
      <c r="B32" s="85" t="s">
        <v>798</v>
      </c>
      <c r="C32" s="3"/>
      <c r="D32" s="1147"/>
      <c r="E32" s="93">
        <v>5.0000000000000001E-3</v>
      </c>
      <c r="F32"/>
      <c r="O32" s="8"/>
    </row>
    <row r="33" spans="1:15" x14ac:dyDescent="0.3">
      <c r="A33" s="1102"/>
      <c r="B33" s="85" t="s">
        <v>799</v>
      </c>
      <c r="C33" s="3"/>
      <c r="D33" s="1147"/>
      <c r="E33" s="93">
        <v>1E-3</v>
      </c>
      <c r="F33"/>
      <c r="O33" s="8"/>
    </row>
    <row r="34" spans="1:15" x14ac:dyDescent="0.3">
      <c r="A34" s="1102"/>
      <c r="B34" s="85" t="s">
        <v>800</v>
      </c>
      <c r="C34" s="3"/>
      <c r="D34" s="1147"/>
      <c r="E34" s="93">
        <v>2E-3</v>
      </c>
      <c r="F34"/>
      <c r="O34" s="8"/>
    </row>
    <row r="35" spans="1:15" x14ac:dyDescent="0.3">
      <c r="A35" s="1102"/>
      <c r="B35" s="85" t="s">
        <v>801</v>
      </c>
      <c r="C35" s="3"/>
      <c r="D35" s="1147"/>
      <c r="E35" s="114">
        <v>6.6E-4</v>
      </c>
      <c r="F35"/>
      <c r="O35" s="8"/>
    </row>
    <row r="36" spans="1:15" x14ac:dyDescent="0.3">
      <c r="A36" s="1102"/>
      <c r="B36" s="85" t="s">
        <v>802</v>
      </c>
      <c r="C36" s="3"/>
      <c r="D36" s="1147"/>
      <c r="E36" s="114">
        <v>3.6000000000000002E-4</v>
      </c>
      <c r="F36"/>
      <c r="O36" s="8"/>
    </row>
    <row r="37" spans="1:15" x14ac:dyDescent="0.3">
      <c r="A37" s="1102"/>
      <c r="B37" s="86" t="s">
        <v>803</v>
      </c>
      <c r="C37"/>
      <c r="D37" s="1148" t="s">
        <v>253</v>
      </c>
      <c r="E37" s="94">
        <v>1E-3</v>
      </c>
      <c r="F37"/>
      <c r="O37" s="8"/>
    </row>
    <row r="38" spans="1:15" x14ac:dyDescent="0.3">
      <c r="A38" s="1102"/>
      <c r="B38" s="86" t="s">
        <v>804</v>
      </c>
      <c r="C38"/>
      <c r="D38" s="1148"/>
      <c r="E38" s="94">
        <v>1.0999999999999999E-2</v>
      </c>
      <c r="F38"/>
      <c r="O38" s="8"/>
    </row>
    <row r="39" spans="1:15" x14ac:dyDescent="0.3">
      <c r="A39" s="1102"/>
      <c r="B39" s="86" t="s">
        <v>805</v>
      </c>
      <c r="C39"/>
      <c r="D39" s="1148"/>
      <c r="E39" s="94">
        <v>5.0000000000000001E-3</v>
      </c>
      <c r="F39"/>
      <c r="O39" s="8"/>
    </row>
    <row r="40" spans="1:15" x14ac:dyDescent="0.3">
      <c r="A40" s="1102"/>
      <c r="B40" s="86" t="s">
        <v>806</v>
      </c>
      <c r="C40"/>
      <c r="D40" s="1148"/>
      <c r="E40" s="94">
        <v>0.01</v>
      </c>
      <c r="F40"/>
      <c r="O40" s="8"/>
    </row>
    <row r="41" spans="1:15" x14ac:dyDescent="0.3">
      <c r="A41" s="1102"/>
      <c r="B41" s="86" t="s">
        <v>807</v>
      </c>
      <c r="C41"/>
      <c r="D41" s="1148"/>
      <c r="E41" s="94">
        <v>8.0000000000000002E-3</v>
      </c>
      <c r="F41"/>
      <c r="O41" s="8"/>
    </row>
    <row r="42" spans="1:15" x14ac:dyDescent="0.3">
      <c r="A42" s="1102"/>
      <c r="B42" s="86" t="s">
        <v>808</v>
      </c>
      <c r="C42"/>
      <c r="D42" s="1148"/>
      <c r="E42" s="94">
        <v>8.9999999999999993E-3</v>
      </c>
      <c r="F42"/>
      <c r="O42" s="8"/>
    </row>
    <row r="43" spans="1:15" x14ac:dyDescent="0.3">
      <c r="A43" s="1102"/>
      <c r="B43" s="86" t="s">
        <v>809</v>
      </c>
      <c r="C43"/>
      <c r="D43" s="1148"/>
      <c r="E43" s="120">
        <v>3.5809999999999998E-4</v>
      </c>
      <c r="F43"/>
      <c r="O43" s="8"/>
    </row>
    <row r="44" spans="1:15" x14ac:dyDescent="0.3">
      <c r="A44" s="1102"/>
      <c r="B44" s="86" t="s">
        <v>810</v>
      </c>
      <c r="C44"/>
      <c r="D44" s="1148"/>
      <c r="E44" s="94">
        <v>3.0000000000000001E-3</v>
      </c>
      <c r="F44"/>
      <c r="O44" s="8"/>
    </row>
    <row r="45" spans="1:15" x14ac:dyDescent="0.3">
      <c r="A45" s="1102"/>
      <c r="B45" s="86" t="s">
        <v>811</v>
      </c>
      <c r="C45"/>
      <c r="D45" s="1148"/>
      <c r="E45" s="94">
        <v>2E-3</v>
      </c>
      <c r="F45"/>
      <c r="O45" s="8"/>
    </row>
    <row r="46" spans="1:15" x14ac:dyDescent="0.3">
      <c r="A46" s="1102"/>
      <c r="B46" s="86" t="s">
        <v>812</v>
      </c>
      <c r="C46"/>
      <c r="D46" s="1148"/>
      <c r="E46" s="94">
        <v>1E-3</v>
      </c>
      <c r="F46"/>
      <c r="O46" s="8"/>
    </row>
    <row r="47" spans="1:15" x14ac:dyDescent="0.3">
      <c r="A47" s="1102"/>
      <c r="B47" s="86" t="s">
        <v>813</v>
      </c>
      <c r="C47"/>
      <c r="D47" s="1148"/>
      <c r="E47" s="94">
        <v>6.0000000000000001E-3</v>
      </c>
      <c r="F47"/>
      <c r="O47" s="8"/>
    </row>
    <row r="48" spans="1:15" x14ac:dyDescent="0.3">
      <c r="A48" s="1102"/>
      <c r="B48" s="86" t="s">
        <v>582</v>
      </c>
      <c r="C48"/>
      <c r="D48" s="1148"/>
      <c r="E48" s="94">
        <v>1.4999999999999999E-2</v>
      </c>
      <c r="F48"/>
      <c r="O48" s="8"/>
    </row>
    <row r="49" spans="1:15" x14ac:dyDescent="0.3">
      <c r="A49" s="1102"/>
      <c r="B49" s="86" t="s">
        <v>673</v>
      </c>
      <c r="C49"/>
      <c r="D49" s="1148"/>
      <c r="E49" s="94">
        <v>6.0000000000000001E-3</v>
      </c>
      <c r="F49"/>
      <c r="O49" s="8"/>
    </row>
    <row r="50" spans="1:15" x14ac:dyDescent="0.3">
      <c r="A50" s="1102"/>
      <c r="B50" s="86" t="s">
        <v>814</v>
      </c>
      <c r="C50"/>
      <c r="D50" s="1148"/>
      <c r="E50" s="94">
        <v>3.0000000000000001E-3</v>
      </c>
      <c r="F50"/>
      <c r="O50" s="8"/>
    </row>
    <row r="51" spans="1:15" x14ac:dyDescent="0.3">
      <c r="A51" s="1102"/>
      <c r="B51" s="86" t="s">
        <v>815</v>
      </c>
      <c r="C51"/>
      <c r="D51" s="1148"/>
      <c r="E51" s="94">
        <v>1.2E-2</v>
      </c>
      <c r="F51"/>
      <c r="O51" s="8"/>
    </row>
    <row r="52" spans="1:15" x14ac:dyDescent="0.3">
      <c r="A52" s="1102"/>
      <c r="B52" s="86" t="s">
        <v>816</v>
      </c>
      <c r="C52"/>
      <c r="D52" s="1148"/>
      <c r="E52" s="94">
        <v>2E-3</v>
      </c>
      <c r="F52"/>
      <c r="O52" s="8"/>
    </row>
    <row r="53" spans="1:15" x14ac:dyDescent="0.3">
      <c r="A53" s="1102"/>
      <c r="B53" s="86" t="s">
        <v>817</v>
      </c>
      <c r="C53"/>
      <c r="D53" s="106"/>
      <c r="E53" s="94"/>
      <c r="F53"/>
      <c r="O53" s="8"/>
    </row>
    <row r="54" spans="1:15" x14ac:dyDescent="0.3">
      <c r="A54" s="1102"/>
      <c r="B54" s="164" t="s">
        <v>772</v>
      </c>
      <c r="C54"/>
      <c r="D54" s="1104" t="s">
        <v>240</v>
      </c>
      <c r="E54" s="65">
        <v>3.5000000000000003E-2</v>
      </c>
      <c r="F54"/>
      <c r="O54" s="8"/>
    </row>
    <row r="55" spans="1:15" x14ac:dyDescent="0.3">
      <c r="A55" s="1102"/>
      <c r="B55" s="164" t="s">
        <v>774</v>
      </c>
      <c r="C55"/>
      <c r="D55" s="1104"/>
      <c r="E55" s="65">
        <v>5.8999999999999997E-2</v>
      </c>
      <c r="F55"/>
      <c r="O55" s="8"/>
    </row>
    <row r="56" spans="1:15" x14ac:dyDescent="0.3">
      <c r="A56" s="1102"/>
      <c r="B56" s="164" t="s">
        <v>773</v>
      </c>
      <c r="C56"/>
      <c r="D56" s="1104"/>
      <c r="E56" s="65">
        <v>5.0000000000000001E-4</v>
      </c>
      <c r="F56"/>
      <c r="O56" s="8"/>
    </row>
    <row r="57" spans="1:15" x14ac:dyDescent="0.3">
      <c r="A57" s="1102"/>
      <c r="B57" s="88" t="s">
        <v>818</v>
      </c>
      <c r="C57"/>
      <c r="D57" s="1146" t="s">
        <v>262</v>
      </c>
      <c r="E57" s="79">
        <v>1.2999999999999999E-2</v>
      </c>
      <c r="F57"/>
      <c r="O57" s="8"/>
    </row>
    <row r="58" spans="1:15" x14ac:dyDescent="0.3">
      <c r="A58" s="1102"/>
      <c r="B58" s="88" t="s">
        <v>819</v>
      </c>
      <c r="C58"/>
      <c r="D58" s="1146"/>
      <c r="E58" s="79">
        <v>4.0000000000000001E-3</v>
      </c>
      <c r="F58"/>
      <c r="O58" s="8"/>
    </row>
    <row r="59" spans="1:15" x14ac:dyDescent="0.3">
      <c r="A59" s="1102"/>
      <c r="B59" s="88" t="s">
        <v>820</v>
      </c>
      <c r="C59"/>
      <c r="D59" s="1146"/>
      <c r="E59" s="79">
        <v>3.0000000000000001E-3</v>
      </c>
      <c r="F59"/>
      <c r="O59" s="8"/>
    </row>
    <row r="60" spans="1:15" x14ac:dyDescent="0.3">
      <c r="A60" s="1102"/>
      <c r="B60" s="112"/>
      <c r="C60"/>
      <c r="D60" s="383" t="s">
        <v>256</v>
      </c>
      <c r="E60" s="384">
        <v>6.9999999999999999E-4</v>
      </c>
      <c r="F60"/>
      <c r="O60" s="8"/>
    </row>
    <row r="61" spans="1:15" ht="15" thickBot="1" x14ac:dyDescent="0.35">
      <c r="A61" s="1102"/>
      <c r="B61" s="352" t="s">
        <v>821</v>
      </c>
      <c r="C61"/>
      <c r="D61" s="351" t="s">
        <v>335</v>
      </c>
      <c r="E61" s="351">
        <v>0.22600000000000001</v>
      </c>
      <c r="F61" s="9"/>
      <c r="G61" s="9"/>
      <c r="H61" s="9"/>
      <c r="I61" s="9"/>
      <c r="J61" s="9"/>
      <c r="O61" s="8"/>
    </row>
    <row r="62" spans="1:15" ht="15" thickBot="1" x14ac:dyDescent="0.35">
      <c r="A62" s="1103"/>
      <c r="B62" s="89"/>
      <c r="C62" s="9"/>
      <c r="D62" s="91"/>
      <c r="E62" s="91"/>
      <c r="F62"/>
      <c r="K62" s="9"/>
      <c r="L62" s="9"/>
      <c r="M62" s="9"/>
      <c r="N62" s="9"/>
      <c r="O62" s="10"/>
    </row>
    <row r="63" spans="1:15" x14ac:dyDescent="0.3">
      <c r="A63"/>
      <c r="C63"/>
      <c r="E63"/>
      <c r="F63"/>
    </row>
    <row r="64" spans="1:15" x14ac:dyDescent="0.3">
      <c r="A64"/>
      <c r="C64"/>
      <c r="E64"/>
      <c r="F64"/>
    </row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ht="15" customHeigh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ht="15" customHeight="1" x14ac:dyDescent="0.3"/>
    <row r="105" customFormat="1" x14ac:dyDescent="0.3"/>
    <row r="106" customFormat="1" x14ac:dyDescent="0.3"/>
    <row r="107" customFormat="1" x14ac:dyDescent="0.3"/>
    <row r="108" customFormat="1" ht="15" customHeight="1" x14ac:dyDescent="0.3"/>
    <row r="109" customFormat="1" x14ac:dyDescent="0.3"/>
    <row r="110" customFormat="1" x14ac:dyDescent="0.3"/>
    <row r="111" customFormat="1" ht="15" customHeigh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ht="15" customHeight="1" x14ac:dyDescent="0.3"/>
    <row r="147" customFormat="1" x14ac:dyDescent="0.3"/>
    <row r="148" customFormat="1" x14ac:dyDescent="0.3"/>
    <row r="149" customFormat="1" ht="15" customHeigh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ht="15" customHeigh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customFormat="1" x14ac:dyDescent="0.3"/>
    <row r="162" customFormat="1" x14ac:dyDescent="0.3"/>
    <row r="163" customFormat="1" x14ac:dyDescent="0.3"/>
    <row r="164" customFormat="1" x14ac:dyDescent="0.3"/>
    <row r="165" customFormat="1" x14ac:dyDescent="0.3"/>
    <row r="166" customFormat="1" x14ac:dyDescent="0.3"/>
    <row r="167" customFormat="1" x14ac:dyDescent="0.3"/>
    <row r="168" customFormat="1" x14ac:dyDescent="0.3"/>
    <row r="169" customFormat="1" x14ac:dyDescent="0.3"/>
    <row r="170" customFormat="1" x14ac:dyDescent="0.3"/>
    <row r="171" customFormat="1" x14ac:dyDescent="0.3"/>
    <row r="172" customFormat="1" x14ac:dyDescent="0.3"/>
    <row r="173" customFormat="1" x14ac:dyDescent="0.3"/>
    <row r="174" customFormat="1" x14ac:dyDescent="0.3"/>
    <row r="175" customFormat="1" x14ac:dyDescent="0.3"/>
    <row r="176" customFormat="1" x14ac:dyDescent="0.3"/>
    <row r="177" spans="1:6" customFormat="1" ht="15" customHeight="1" x14ac:dyDescent="0.3"/>
    <row r="178" spans="1:6" customFormat="1" x14ac:dyDescent="0.3"/>
    <row r="179" spans="1:6" customFormat="1" x14ac:dyDescent="0.3"/>
    <row r="180" spans="1:6" customFormat="1" x14ac:dyDescent="0.3"/>
    <row r="181" spans="1:6" customFormat="1" x14ac:dyDescent="0.3"/>
    <row r="182" spans="1:6" customFormat="1" x14ac:dyDescent="0.3"/>
    <row r="183" spans="1:6" customFormat="1" x14ac:dyDescent="0.3"/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  <row r="238" spans="1:6" x14ac:dyDescent="0.3">
      <c r="A238"/>
      <c r="C238" s="3"/>
      <c r="E238" s="1"/>
      <c r="F238"/>
    </row>
    <row r="239" spans="1:6" x14ac:dyDescent="0.3">
      <c r="A239"/>
      <c r="C239" s="3"/>
      <c r="E239" s="1"/>
      <c r="F239"/>
    </row>
    <row r="240" spans="1:6" x14ac:dyDescent="0.3">
      <c r="A240"/>
      <c r="C240" s="3"/>
      <c r="E240" s="1"/>
      <c r="F240"/>
    </row>
    <row r="241" spans="1:6" ht="15" customHeight="1" x14ac:dyDescent="0.3">
      <c r="A241"/>
      <c r="C241" s="3"/>
      <c r="E241" s="1"/>
      <c r="F241"/>
    </row>
    <row r="242" spans="1:6" x14ac:dyDescent="0.3">
      <c r="A242"/>
      <c r="C242" s="3"/>
      <c r="E242" s="1"/>
      <c r="F242"/>
    </row>
    <row r="243" spans="1:6" x14ac:dyDescent="0.3">
      <c r="A243"/>
      <c r="C243" s="3"/>
      <c r="E243" s="1"/>
      <c r="F243"/>
    </row>
    <row r="244" spans="1:6" x14ac:dyDescent="0.3">
      <c r="A244"/>
      <c r="C244" s="3"/>
      <c r="E244" s="1"/>
      <c r="F244"/>
    </row>
    <row r="245" spans="1:6" x14ac:dyDescent="0.3">
      <c r="A245"/>
      <c r="C245" s="3"/>
      <c r="E245" s="1"/>
      <c r="F245"/>
    </row>
    <row r="246" spans="1:6" x14ac:dyDescent="0.3">
      <c r="A246"/>
      <c r="C246" s="3"/>
      <c r="E246" s="1"/>
      <c r="F246"/>
    </row>
    <row r="247" spans="1:6" x14ac:dyDescent="0.3">
      <c r="A247"/>
      <c r="C247" s="3"/>
      <c r="E247" s="1"/>
      <c r="F247"/>
    </row>
    <row r="248" spans="1:6" x14ac:dyDescent="0.3">
      <c r="A248"/>
      <c r="C248" s="3"/>
      <c r="E248" s="1"/>
      <c r="F248"/>
    </row>
    <row r="249" spans="1:6" x14ac:dyDescent="0.3">
      <c r="A249"/>
      <c r="C249" s="3"/>
      <c r="E249" s="1"/>
      <c r="F249"/>
    </row>
    <row r="250" spans="1:6" x14ac:dyDescent="0.3">
      <c r="A250"/>
      <c r="C250" s="3"/>
      <c r="E250" s="1"/>
      <c r="F250"/>
    </row>
    <row r="251" spans="1:6" x14ac:dyDescent="0.3">
      <c r="A251"/>
      <c r="C251" s="3"/>
      <c r="E251" s="1"/>
      <c r="F251"/>
    </row>
    <row r="252" spans="1:6" x14ac:dyDescent="0.3">
      <c r="A252"/>
      <c r="C252" s="3"/>
      <c r="E252" s="1"/>
      <c r="F252"/>
    </row>
    <row r="253" spans="1:6" x14ac:dyDescent="0.3">
      <c r="A253"/>
      <c r="C253" s="3"/>
      <c r="E253" s="1"/>
      <c r="F253"/>
    </row>
    <row r="254" spans="1:6" x14ac:dyDescent="0.3">
      <c r="A254"/>
      <c r="C254" s="3"/>
      <c r="E254" s="1"/>
      <c r="F254"/>
    </row>
    <row r="255" spans="1:6" x14ac:dyDescent="0.3">
      <c r="A255"/>
      <c r="C255" s="3"/>
      <c r="E255" s="1"/>
      <c r="F255"/>
    </row>
    <row r="256" spans="1:6" x14ac:dyDescent="0.3">
      <c r="A256"/>
      <c r="C256" s="3"/>
      <c r="E256" s="1"/>
      <c r="F256"/>
    </row>
    <row r="257" spans="1:6" ht="15" customHeight="1" x14ac:dyDescent="0.3">
      <c r="A257"/>
      <c r="C257" s="3"/>
      <c r="E257" s="1"/>
      <c r="F257"/>
    </row>
    <row r="258" spans="1:6" x14ac:dyDescent="0.3">
      <c r="A258"/>
      <c r="C258" s="3"/>
      <c r="E258" s="1"/>
      <c r="F258"/>
    </row>
    <row r="259" spans="1:6" x14ac:dyDescent="0.3">
      <c r="A259"/>
      <c r="C259" s="3"/>
      <c r="E259" s="1"/>
      <c r="F259"/>
    </row>
    <row r="260" spans="1:6" x14ac:dyDescent="0.3">
      <c r="A260"/>
      <c r="C260" s="3"/>
      <c r="E260" s="1"/>
      <c r="F260"/>
    </row>
    <row r="261" spans="1:6" x14ac:dyDescent="0.3">
      <c r="A261"/>
      <c r="C261" s="3"/>
      <c r="E261" s="1"/>
      <c r="F261"/>
    </row>
    <row r="262" spans="1:6" x14ac:dyDescent="0.3">
      <c r="A262"/>
      <c r="C262" s="3"/>
      <c r="E262" s="1"/>
      <c r="F262"/>
    </row>
    <row r="263" spans="1:6" x14ac:dyDescent="0.3">
      <c r="A263"/>
      <c r="C263" s="3"/>
      <c r="E263" s="1"/>
      <c r="F263"/>
    </row>
    <row r="264" spans="1:6" x14ac:dyDescent="0.3">
      <c r="A264"/>
      <c r="C264" s="3"/>
      <c r="E264" s="1"/>
      <c r="F264"/>
    </row>
    <row r="265" spans="1:6" x14ac:dyDescent="0.3">
      <c r="A265"/>
      <c r="C265" s="3"/>
      <c r="E265" s="1"/>
      <c r="F265"/>
    </row>
    <row r="266" spans="1:6" x14ac:dyDescent="0.3">
      <c r="A266"/>
      <c r="C266" s="3"/>
      <c r="E266" s="1"/>
      <c r="F266"/>
    </row>
    <row r="267" spans="1:6" x14ac:dyDescent="0.3">
      <c r="A267"/>
      <c r="C267" s="3"/>
      <c r="E267" s="1"/>
      <c r="F267"/>
    </row>
    <row r="268" spans="1:6" x14ac:dyDescent="0.3">
      <c r="A268"/>
      <c r="C268" s="3"/>
      <c r="E268" s="1"/>
      <c r="F268"/>
    </row>
    <row r="269" spans="1:6" x14ac:dyDescent="0.3">
      <c r="A269"/>
      <c r="C269" s="3"/>
      <c r="E269" s="1"/>
      <c r="F269"/>
    </row>
    <row r="270" spans="1:6" x14ac:dyDescent="0.3">
      <c r="A270"/>
      <c r="C270" s="3"/>
      <c r="E270" s="1"/>
      <c r="F270"/>
    </row>
    <row r="271" spans="1:6" x14ac:dyDescent="0.3">
      <c r="A271"/>
      <c r="C271" s="3"/>
      <c r="E271" s="1"/>
    </row>
  </sheetData>
  <mergeCells count="16">
    <mergeCell ref="M3:M13"/>
    <mergeCell ref="N3:N13"/>
    <mergeCell ref="O3:O13"/>
    <mergeCell ref="L3:L13"/>
    <mergeCell ref="C3:C13"/>
    <mergeCell ref="G1:J1"/>
    <mergeCell ref="A3:A13"/>
    <mergeCell ref="B3:B13"/>
    <mergeCell ref="K3:K13"/>
    <mergeCell ref="A15:A62"/>
    <mergeCell ref="D31:D36"/>
    <mergeCell ref="D37:D52"/>
    <mergeCell ref="D54:D56"/>
    <mergeCell ref="D16:D26"/>
    <mergeCell ref="D27:D29"/>
    <mergeCell ref="D57:D59"/>
  </mergeCells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Feuil9"/>
  <dimension ref="A1:O270"/>
  <sheetViews>
    <sheetView topLeftCell="C1" zoomScale="70" zoomScaleNormal="70" workbookViewId="0">
      <selection activeCell="E3" sqref="E3:I7"/>
    </sheetView>
  </sheetViews>
  <sheetFormatPr baseColWidth="10" defaultColWidth="11.44140625" defaultRowHeight="14.4" x14ac:dyDescent="0.3"/>
  <cols>
    <col min="1" max="1" width="33.4414062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26" style="1" bestFit="1" customWidth="1"/>
    <col min="7" max="7" width="21.6640625" bestFit="1" customWidth="1"/>
    <col min="8" max="8" width="16.88671875" bestFit="1" customWidth="1"/>
    <col min="9" max="9" width="12" bestFit="1" customWidth="1"/>
    <col min="10" max="10" width="30.109375" bestFit="1" customWidth="1"/>
    <col min="11" max="11" width="36" bestFit="1" customWidth="1"/>
    <col min="12" max="12" width="20.109375" bestFit="1" customWidth="1"/>
    <col min="13" max="13" width="29.6640625" bestFit="1" customWidth="1"/>
    <col min="14" max="14" width="45.109375" bestFit="1" customWidth="1"/>
    <col min="15" max="15" width="16" customWidth="1"/>
  </cols>
  <sheetData>
    <row r="1" spans="1:15" ht="15" thickBot="1" x14ac:dyDescent="0.35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720" t="s">
        <v>529</v>
      </c>
      <c r="G1" s="1143" t="s">
        <v>530</v>
      </c>
      <c r="H1" s="1091"/>
      <c r="I1" s="1091"/>
      <c r="J1" s="1144"/>
      <c r="K1" s="30" t="s">
        <v>11</v>
      </c>
      <c r="L1" s="30" t="s">
        <v>12</v>
      </c>
      <c r="M1" s="30" t="s">
        <v>13</v>
      </c>
      <c r="N1" s="30" t="s">
        <v>16</v>
      </c>
      <c r="O1" s="30" t="s">
        <v>17</v>
      </c>
    </row>
    <row r="2" spans="1:15" ht="15" thickBot="1" x14ac:dyDescent="0.35">
      <c r="A2" s="31"/>
      <c r="B2" s="113" t="s">
        <v>79</v>
      </c>
      <c r="C2" s="49"/>
      <c r="D2" s="34"/>
      <c r="E2" s="33"/>
      <c r="F2" s="720" t="s">
        <v>402</v>
      </c>
      <c r="G2" s="747" t="s">
        <v>530</v>
      </c>
      <c r="H2" s="636" t="s">
        <v>404</v>
      </c>
      <c r="I2" s="747" t="s">
        <v>406</v>
      </c>
      <c r="J2" s="742" t="s">
        <v>407</v>
      </c>
      <c r="K2" s="34"/>
      <c r="L2" s="34"/>
      <c r="M2" s="34"/>
      <c r="N2" s="34"/>
      <c r="O2" s="34"/>
    </row>
    <row r="3" spans="1:15" ht="15.75" customHeight="1" thickBot="1" x14ac:dyDescent="0.35">
      <c r="A3" s="1071" t="s">
        <v>78</v>
      </c>
      <c r="B3" s="1025" t="s">
        <v>79</v>
      </c>
      <c r="C3" s="1045" t="s">
        <v>414</v>
      </c>
      <c r="D3" s="125" t="s">
        <v>234</v>
      </c>
      <c r="E3" s="125">
        <f>SUM(E4:E7)</f>
        <v>2.0273599999999998</v>
      </c>
      <c r="F3" s="702">
        <f>SUM(F4)</f>
        <v>16.071000000000002</v>
      </c>
      <c r="G3" s="702"/>
      <c r="H3" s="702">
        <f>SUM(H4)</f>
        <v>17.521000000000001</v>
      </c>
      <c r="I3" s="702">
        <f>SUM(I4:I6)</f>
        <v>0.30099999999999999</v>
      </c>
      <c r="J3" s="706"/>
      <c r="K3" s="1007" t="s">
        <v>414</v>
      </c>
      <c r="L3" s="1007" t="s">
        <v>61</v>
      </c>
      <c r="M3" s="1016" t="s">
        <v>62</v>
      </c>
      <c r="N3" s="1016">
        <v>364</v>
      </c>
      <c r="O3" s="1136" t="s">
        <v>30</v>
      </c>
    </row>
    <row r="4" spans="1:15" x14ac:dyDescent="0.3">
      <c r="A4" s="1113"/>
      <c r="B4" s="1026"/>
      <c r="C4" s="1046"/>
      <c r="D4" s="77" t="s">
        <v>47</v>
      </c>
      <c r="E4" s="71">
        <f>SUM(E11:E11)</f>
        <v>1.45</v>
      </c>
      <c r="F4" s="162">
        <f>SUM(F11)</f>
        <v>16.071000000000002</v>
      </c>
      <c r="G4" s="162"/>
      <c r="H4" s="162">
        <f>SUM(H11)</f>
        <v>17.521000000000001</v>
      </c>
      <c r="I4" s="162">
        <f>SUM(I11)</f>
        <v>0.30099999999999999</v>
      </c>
      <c r="J4" s="165" t="s">
        <v>51</v>
      </c>
      <c r="K4" s="1008"/>
      <c r="L4" s="1008"/>
      <c r="M4" s="1017"/>
      <c r="N4" s="1017"/>
      <c r="O4" s="1137"/>
    </row>
    <row r="5" spans="1:15" x14ac:dyDescent="0.3">
      <c r="A5" s="1113"/>
      <c r="B5" s="1026"/>
      <c r="C5" s="1046"/>
      <c r="D5" s="72" t="s">
        <v>91</v>
      </c>
      <c r="E5" s="277">
        <f>SUM(E12:E14)</f>
        <v>0.50600000000000001</v>
      </c>
      <c r="F5" s="159"/>
      <c r="G5" s="159"/>
      <c r="H5" s="159"/>
      <c r="I5" s="159"/>
      <c r="J5" s="305"/>
      <c r="K5" s="1008"/>
      <c r="L5" s="1008"/>
      <c r="M5" s="1017"/>
      <c r="N5" s="1017"/>
      <c r="O5" s="1137"/>
    </row>
    <row r="6" spans="1:15" x14ac:dyDescent="0.3">
      <c r="A6" s="1113"/>
      <c r="B6" s="1026"/>
      <c r="C6" s="1046"/>
      <c r="D6" s="168" t="s">
        <v>244</v>
      </c>
      <c r="E6" s="168">
        <f>SUM(E15:E16)</f>
        <v>1.4E-2</v>
      </c>
      <c r="F6" s="169"/>
      <c r="G6" s="750"/>
      <c r="H6" s="169"/>
      <c r="I6" s="169"/>
      <c r="J6" s="158"/>
      <c r="K6" s="1008"/>
      <c r="L6" s="1008"/>
      <c r="M6" s="1017"/>
      <c r="N6" s="1017"/>
      <c r="O6" s="1137"/>
    </row>
    <row r="7" spans="1:15" x14ac:dyDescent="0.3">
      <c r="A7" s="1113"/>
      <c r="B7" s="1026"/>
      <c r="C7" s="1046"/>
      <c r="D7" s="172" t="s">
        <v>253</v>
      </c>
      <c r="E7" s="172">
        <f>SUM(E17:E23)</f>
        <v>5.7360000000000001E-2</v>
      </c>
      <c r="F7" s="751"/>
      <c r="G7" s="752"/>
      <c r="H7" s="752"/>
      <c r="I7" s="752"/>
      <c r="J7" s="633"/>
      <c r="K7" s="1008"/>
      <c r="L7" s="1008"/>
      <c r="M7" s="1017"/>
      <c r="N7" s="1017"/>
      <c r="O7" s="1137"/>
    </row>
    <row r="8" spans="1:15" ht="15" thickBot="1" x14ac:dyDescent="0.35">
      <c r="A8" s="1072"/>
      <c r="B8" s="1027"/>
      <c r="C8" s="1047"/>
      <c r="D8" s="80"/>
      <c r="E8" s="53"/>
      <c r="F8" s="695"/>
      <c r="G8" s="91"/>
      <c r="H8" s="91"/>
      <c r="I8" s="91"/>
      <c r="J8" s="10"/>
      <c r="K8" s="1009"/>
      <c r="L8" s="1009"/>
      <c r="M8" s="1018"/>
      <c r="N8" s="1018"/>
      <c r="O8" s="1138"/>
    </row>
    <row r="9" spans="1:15" ht="15" thickBot="1" x14ac:dyDescent="0.35">
      <c r="A9"/>
      <c r="C9" s="3"/>
      <c r="E9" s="1"/>
      <c r="F9" s="3"/>
      <c r="G9" s="3"/>
      <c r="H9" s="3"/>
      <c r="I9" s="3"/>
      <c r="J9" s="3"/>
    </row>
    <row r="10" spans="1:15" ht="15" thickBot="1" x14ac:dyDescent="0.35">
      <c r="A10" s="1101" t="s">
        <v>78</v>
      </c>
      <c r="B10" s="83" t="s">
        <v>70</v>
      </c>
      <c r="C10" s="2"/>
      <c r="D10" s="90" t="s">
        <v>532</v>
      </c>
      <c r="E10" s="92">
        <f>SUM(E11:E23)</f>
        <v>2.0273599999999994</v>
      </c>
      <c r="F10" s="735" t="s">
        <v>402</v>
      </c>
      <c r="G10" s="735" t="s">
        <v>530</v>
      </c>
      <c r="H10" s="735" t="s">
        <v>404</v>
      </c>
      <c r="I10" s="735" t="s">
        <v>406</v>
      </c>
      <c r="J10" s="735" t="s">
        <v>407</v>
      </c>
      <c r="K10" s="38"/>
      <c r="L10" s="5"/>
      <c r="M10" s="5"/>
      <c r="N10" s="5"/>
      <c r="O10" s="6"/>
    </row>
    <row r="11" spans="1:15" ht="15" thickBot="1" x14ac:dyDescent="0.35">
      <c r="A11" s="1102"/>
      <c r="B11" s="126" t="s">
        <v>822</v>
      </c>
      <c r="C11" s="69"/>
      <c r="D11" s="162" t="s">
        <v>47</v>
      </c>
      <c r="E11" s="166">
        <v>1.45</v>
      </c>
      <c r="F11" s="727">
        <f>SUM(H11-E11)</f>
        <v>16.071000000000002</v>
      </c>
      <c r="G11" s="727" t="s">
        <v>823</v>
      </c>
      <c r="H11" s="727">
        <v>17.521000000000001</v>
      </c>
      <c r="I11" s="727">
        <v>0.30099999999999999</v>
      </c>
      <c r="J11" s="727" t="s">
        <v>51</v>
      </c>
      <c r="K11" s="3"/>
      <c r="O11" s="8"/>
    </row>
    <row r="12" spans="1:15" x14ac:dyDescent="0.3">
      <c r="A12" s="1102"/>
      <c r="B12" s="103" t="s">
        <v>824</v>
      </c>
      <c r="C12" s="3"/>
      <c r="D12" s="1149" t="s">
        <v>91</v>
      </c>
      <c r="E12" s="159">
        <v>0.183</v>
      </c>
      <c r="F12"/>
      <c r="O12" s="8"/>
    </row>
    <row r="13" spans="1:15" x14ac:dyDescent="0.3">
      <c r="A13" s="1102"/>
      <c r="B13" s="103" t="s">
        <v>825</v>
      </c>
      <c r="C13" s="3"/>
      <c r="D13" s="1149"/>
      <c r="E13" s="159">
        <v>0.186</v>
      </c>
      <c r="F13"/>
      <c r="O13" s="8"/>
    </row>
    <row r="14" spans="1:15" x14ac:dyDescent="0.3">
      <c r="A14" s="1102"/>
      <c r="B14" s="103" t="s">
        <v>826</v>
      </c>
      <c r="C14" s="3"/>
      <c r="D14" s="1149"/>
      <c r="E14" s="159">
        <v>0.13700000000000001</v>
      </c>
      <c r="F14"/>
      <c r="O14" s="8"/>
    </row>
    <row r="15" spans="1:15" x14ac:dyDescent="0.3">
      <c r="A15" s="1102"/>
      <c r="B15" s="192" t="s">
        <v>827</v>
      </c>
      <c r="C15" s="3"/>
      <c r="D15" s="1098" t="s">
        <v>244</v>
      </c>
      <c r="E15" s="169">
        <v>1.2E-2</v>
      </c>
      <c r="F15"/>
      <c r="O15" s="8"/>
    </row>
    <row r="16" spans="1:15" x14ac:dyDescent="0.3">
      <c r="A16" s="1102"/>
      <c r="B16" s="192" t="s">
        <v>800</v>
      </c>
      <c r="C16" s="3"/>
      <c r="D16" s="1098"/>
      <c r="E16" s="169">
        <v>2E-3</v>
      </c>
      <c r="F16"/>
      <c r="O16" s="8"/>
    </row>
    <row r="17" spans="1:15" x14ac:dyDescent="0.3">
      <c r="A17" s="1102"/>
      <c r="B17" s="193" t="s">
        <v>828</v>
      </c>
      <c r="C17" s="3"/>
      <c r="D17" s="1096" t="s">
        <v>253</v>
      </c>
      <c r="E17" s="173">
        <v>1.4999999999999999E-2</v>
      </c>
      <c r="F17"/>
      <c r="O17" s="8"/>
    </row>
    <row r="18" spans="1:15" x14ac:dyDescent="0.3">
      <c r="A18" s="1102"/>
      <c r="B18" s="193" t="s">
        <v>829</v>
      </c>
      <c r="C18" s="3"/>
      <c r="D18" s="1096"/>
      <c r="E18" s="173">
        <v>2E-3</v>
      </c>
      <c r="F18"/>
      <c r="O18" s="8"/>
    </row>
    <row r="19" spans="1:15" x14ac:dyDescent="0.3">
      <c r="A19" s="1102"/>
      <c r="B19" s="193" t="s">
        <v>830</v>
      </c>
      <c r="C19" s="3"/>
      <c r="D19" s="1096"/>
      <c r="E19" s="173">
        <v>7.0000000000000001E-3</v>
      </c>
      <c r="F19"/>
      <c r="O19" s="8"/>
    </row>
    <row r="20" spans="1:15" x14ac:dyDescent="0.3">
      <c r="A20" s="1102"/>
      <c r="B20" s="193" t="s">
        <v>831</v>
      </c>
      <c r="C20" s="3"/>
      <c r="D20" s="1096"/>
      <c r="E20" s="173">
        <v>3.6000000000000002E-4</v>
      </c>
      <c r="F20"/>
      <c r="O20" s="8"/>
    </row>
    <row r="21" spans="1:15" x14ac:dyDescent="0.3">
      <c r="A21" s="1102"/>
      <c r="B21" s="193" t="s">
        <v>832</v>
      </c>
      <c r="C21"/>
      <c r="D21" s="1096"/>
      <c r="E21" s="174">
        <v>2.5000000000000001E-2</v>
      </c>
      <c r="F21"/>
      <c r="O21" s="8"/>
    </row>
    <row r="22" spans="1:15" x14ac:dyDescent="0.3">
      <c r="A22" s="1102"/>
      <c r="B22" s="193" t="s">
        <v>833</v>
      </c>
      <c r="C22"/>
      <c r="D22" s="1096"/>
      <c r="E22" s="174">
        <v>2E-3</v>
      </c>
      <c r="F22"/>
      <c r="O22" s="8"/>
    </row>
    <row r="23" spans="1:15" x14ac:dyDescent="0.3">
      <c r="A23" s="1102"/>
      <c r="B23" s="193" t="s">
        <v>834</v>
      </c>
      <c r="C23"/>
      <c r="D23" s="1096"/>
      <c r="E23" s="174">
        <v>6.0000000000000001E-3</v>
      </c>
      <c r="F23"/>
      <c r="O23" s="8"/>
    </row>
    <row r="24" spans="1:15" ht="15" thickBot="1" x14ac:dyDescent="0.35">
      <c r="A24" s="1103"/>
      <c r="B24" s="89"/>
      <c r="C24" s="9"/>
      <c r="D24" s="91"/>
      <c r="E24" s="91"/>
      <c r="F24" s="9"/>
      <c r="G24" s="9"/>
      <c r="H24" s="9"/>
      <c r="I24" s="9"/>
      <c r="J24" s="9"/>
      <c r="K24" s="9"/>
      <c r="L24" s="9"/>
      <c r="M24" s="9"/>
      <c r="N24" s="9"/>
      <c r="O24" s="10"/>
    </row>
    <row r="25" spans="1:15" x14ac:dyDescent="0.3">
      <c r="A25"/>
      <c r="C25"/>
      <c r="E25"/>
      <c r="F25"/>
    </row>
    <row r="26" spans="1:15" x14ac:dyDescent="0.3">
      <c r="A26"/>
      <c r="C26"/>
      <c r="E26"/>
      <c r="F26"/>
    </row>
    <row r="27" spans="1:15" x14ac:dyDescent="0.3">
      <c r="A27"/>
      <c r="C27"/>
      <c r="E27"/>
      <c r="F27"/>
    </row>
    <row r="28" spans="1:15" x14ac:dyDescent="0.3">
      <c r="A28"/>
      <c r="C28"/>
      <c r="E28"/>
      <c r="F28"/>
    </row>
    <row r="29" spans="1:15" x14ac:dyDescent="0.3">
      <c r="A29"/>
      <c r="C29"/>
      <c r="E29"/>
      <c r="F29"/>
    </row>
    <row r="30" spans="1:15" x14ac:dyDescent="0.3">
      <c r="A30"/>
      <c r="C30"/>
      <c r="E30"/>
      <c r="F30"/>
    </row>
    <row r="31" spans="1:15" x14ac:dyDescent="0.3">
      <c r="A31"/>
      <c r="C31"/>
      <c r="E31"/>
      <c r="F31"/>
    </row>
    <row r="32" spans="1:15" x14ac:dyDescent="0.3">
      <c r="A32"/>
      <c r="C32"/>
      <c r="E32"/>
      <c r="F32"/>
    </row>
    <row r="33" spans="1:6" customFormat="1" x14ac:dyDescent="0.3"/>
    <row r="34" spans="1:6" customFormat="1" x14ac:dyDescent="0.3"/>
    <row r="35" spans="1:6" customFormat="1" x14ac:dyDescent="0.3"/>
    <row r="36" spans="1:6" customFormat="1" x14ac:dyDescent="0.3"/>
    <row r="37" spans="1:6" x14ac:dyDescent="0.3">
      <c r="A37"/>
      <c r="C37" s="3"/>
      <c r="E37"/>
      <c r="F37"/>
    </row>
    <row r="38" spans="1:6" x14ac:dyDescent="0.3">
      <c r="A38"/>
      <c r="C38" s="3"/>
      <c r="E38"/>
      <c r="F38"/>
    </row>
    <row r="39" spans="1:6" x14ac:dyDescent="0.3">
      <c r="A39"/>
      <c r="C39" s="3"/>
      <c r="E39"/>
      <c r="F39"/>
    </row>
    <row r="40" spans="1:6" x14ac:dyDescent="0.3">
      <c r="A40"/>
      <c r="C40" s="3"/>
      <c r="E40"/>
      <c r="F40"/>
    </row>
    <row r="41" spans="1:6" x14ac:dyDescent="0.3">
      <c r="A41"/>
      <c r="C41" s="3"/>
      <c r="E41"/>
      <c r="F41"/>
    </row>
    <row r="42" spans="1:6" x14ac:dyDescent="0.3">
      <c r="A42"/>
      <c r="C42" s="3"/>
      <c r="E42"/>
      <c r="F42"/>
    </row>
    <row r="43" spans="1:6" x14ac:dyDescent="0.3">
      <c r="A43"/>
      <c r="C43" s="3"/>
      <c r="E43"/>
      <c r="F43"/>
    </row>
    <row r="44" spans="1:6" x14ac:dyDescent="0.3">
      <c r="A44"/>
      <c r="C44" s="3"/>
      <c r="E44"/>
      <c r="F44"/>
    </row>
    <row r="45" spans="1:6" x14ac:dyDescent="0.3">
      <c r="A45"/>
      <c r="C45" s="3"/>
      <c r="E45"/>
      <c r="F45"/>
    </row>
    <row r="46" spans="1:6" x14ac:dyDescent="0.3">
      <c r="A46"/>
      <c r="C46" s="3"/>
      <c r="E46"/>
      <c r="F46"/>
    </row>
    <row r="47" spans="1:6" x14ac:dyDescent="0.3">
      <c r="A47"/>
      <c r="C47" s="3"/>
      <c r="E47"/>
      <c r="F47"/>
    </row>
    <row r="48" spans="1:6" x14ac:dyDescent="0.3">
      <c r="A48"/>
      <c r="C48" s="3"/>
      <c r="E48"/>
      <c r="F48"/>
    </row>
    <row r="49" spans="1:6" x14ac:dyDescent="0.3">
      <c r="A49"/>
      <c r="C49" s="3"/>
      <c r="E49"/>
      <c r="F49"/>
    </row>
    <row r="50" spans="1:6" x14ac:dyDescent="0.3">
      <c r="A50"/>
      <c r="C50" s="3"/>
      <c r="E50"/>
      <c r="F50"/>
    </row>
    <row r="51" spans="1:6" x14ac:dyDescent="0.3">
      <c r="A51"/>
      <c r="C51" s="3"/>
      <c r="E51"/>
      <c r="F51"/>
    </row>
    <row r="52" spans="1:6" x14ac:dyDescent="0.3">
      <c r="A52"/>
      <c r="C52" s="3"/>
      <c r="E52"/>
      <c r="F52"/>
    </row>
    <row r="53" spans="1:6" x14ac:dyDescent="0.3">
      <c r="A53"/>
      <c r="C53" s="3"/>
      <c r="E53"/>
      <c r="F53"/>
    </row>
    <row r="54" spans="1:6" x14ac:dyDescent="0.3">
      <c r="A54"/>
      <c r="C54" s="3"/>
      <c r="E54"/>
      <c r="F54"/>
    </row>
    <row r="55" spans="1:6" x14ac:dyDescent="0.3">
      <c r="A55"/>
      <c r="C55" s="3"/>
      <c r="E55"/>
      <c r="F55"/>
    </row>
    <row r="56" spans="1:6" x14ac:dyDescent="0.3">
      <c r="A56"/>
      <c r="C56" s="3"/>
      <c r="E56"/>
      <c r="F56"/>
    </row>
    <row r="57" spans="1:6" x14ac:dyDescent="0.3">
      <c r="A57"/>
      <c r="C57" s="3"/>
      <c r="E57"/>
      <c r="F57"/>
    </row>
    <row r="58" spans="1:6" x14ac:dyDescent="0.3">
      <c r="A58"/>
      <c r="C58" s="3"/>
      <c r="E58"/>
      <c r="F58"/>
    </row>
    <row r="59" spans="1:6" x14ac:dyDescent="0.3">
      <c r="A59"/>
      <c r="C59" s="3"/>
      <c r="E59"/>
      <c r="F59"/>
    </row>
    <row r="60" spans="1:6" x14ac:dyDescent="0.3">
      <c r="A60"/>
      <c r="C60" s="3"/>
      <c r="E60"/>
      <c r="F60"/>
    </row>
    <row r="61" spans="1:6" x14ac:dyDescent="0.3">
      <c r="A61"/>
      <c r="C61" s="3"/>
      <c r="E61"/>
      <c r="F61"/>
    </row>
    <row r="62" spans="1:6" x14ac:dyDescent="0.3">
      <c r="A62"/>
      <c r="C62" s="3"/>
      <c r="E62"/>
      <c r="F62"/>
    </row>
    <row r="63" spans="1:6" x14ac:dyDescent="0.3">
      <c r="A63"/>
      <c r="C63" s="3"/>
      <c r="E63"/>
      <c r="F63"/>
    </row>
    <row r="64" spans="1:6" x14ac:dyDescent="0.3">
      <c r="A64"/>
      <c r="C64" s="3"/>
      <c r="E64"/>
      <c r="F64"/>
    </row>
    <row r="65" spans="1:6" x14ac:dyDescent="0.3">
      <c r="A65"/>
      <c r="C65" s="3"/>
      <c r="E65"/>
      <c r="F65"/>
    </row>
    <row r="66" spans="1:6" x14ac:dyDescent="0.3">
      <c r="A66"/>
      <c r="C66" s="3"/>
      <c r="E66"/>
      <c r="F66"/>
    </row>
    <row r="67" spans="1:6" x14ac:dyDescent="0.3">
      <c r="A67"/>
      <c r="C67" s="3"/>
      <c r="E67"/>
      <c r="F67"/>
    </row>
    <row r="68" spans="1:6" ht="15" customHeight="1" x14ac:dyDescent="0.3">
      <c r="A68"/>
      <c r="C68" s="3"/>
      <c r="E68"/>
      <c r="F68"/>
    </row>
    <row r="69" spans="1:6" x14ac:dyDescent="0.3">
      <c r="A69"/>
      <c r="C69" s="3"/>
      <c r="E69"/>
      <c r="F69"/>
    </row>
    <row r="70" spans="1:6" x14ac:dyDescent="0.3">
      <c r="A70"/>
      <c r="C70" s="3"/>
      <c r="E70"/>
      <c r="F70"/>
    </row>
    <row r="71" spans="1:6" x14ac:dyDescent="0.3">
      <c r="A71"/>
      <c r="C71" s="3"/>
      <c r="E71"/>
      <c r="F71"/>
    </row>
    <row r="72" spans="1:6" x14ac:dyDescent="0.3">
      <c r="A72"/>
      <c r="C72" s="3"/>
      <c r="E72"/>
      <c r="F72"/>
    </row>
    <row r="73" spans="1:6" x14ac:dyDescent="0.3">
      <c r="A73"/>
      <c r="C73" s="3"/>
      <c r="E73"/>
      <c r="F73"/>
    </row>
    <row r="74" spans="1:6" x14ac:dyDescent="0.3">
      <c r="A74"/>
      <c r="C74" s="3"/>
      <c r="E74"/>
      <c r="F74"/>
    </row>
    <row r="75" spans="1:6" x14ac:dyDescent="0.3">
      <c r="A75"/>
      <c r="C75" s="3"/>
      <c r="E75"/>
      <c r="F75"/>
    </row>
    <row r="76" spans="1:6" x14ac:dyDescent="0.3">
      <c r="A76"/>
      <c r="C76" s="3"/>
      <c r="E76"/>
      <c r="F76"/>
    </row>
    <row r="77" spans="1:6" x14ac:dyDescent="0.3">
      <c r="A77"/>
      <c r="C77" s="3"/>
      <c r="E77"/>
      <c r="F77"/>
    </row>
    <row r="78" spans="1:6" x14ac:dyDescent="0.3">
      <c r="A78"/>
      <c r="C78" s="3"/>
      <c r="E78"/>
      <c r="F78"/>
    </row>
    <row r="79" spans="1:6" x14ac:dyDescent="0.3">
      <c r="A79"/>
      <c r="C79" s="3"/>
      <c r="E79"/>
      <c r="F79"/>
    </row>
    <row r="80" spans="1:6" x14ac:dyDescent="0.3">
      <c r="A80"/>
      <c r="C80" s="3"/>
      <c r="E80"/>
      <c r="F80"/>
    </row>
    <row r="81" spans="1:6" x14ac:dyDescent="0.3">
      <c r="A81"/>
      <c r="C81" s="3"/>
      <c r="E81"/>
      <c r="F81"/>
    </row>
    <row r="82" spans="1:6" x14ac:dyDescent="0.3">
      <c r="A82"/>
      <c r="C82" s="3"/>
      <c r="E82"/>
      <c r="F82"/>
    </row>
    <row r="83" spans="1:6" x14ac:dyDescent="0.3">
      <c r="A83"/>
      <c r="C83" s="3"/>
      <c r="E83"/>
      <c r="F83"/>
    </row>
    <row r="84" spans="1:6" ht="15" customHeight="1" x14ac:dyDescent="0.3">
      <c r="A84"/>
      <c r="C84" s="3"/>
      <c r="E84"/>
      <c r="F84"/>
    </row>
    <row r="85" spans="1:6" x14ac:dyDescent="0.3">
      <c r="A85"/>
      <c r="C85" s="3"/>
      <c r="E85"/>
      <c r="F85"/>
    </row>
    <row r="86" spans="1:6" x14ac:dyDescent="0.3">
      <c r="A86"/>
      <c r="C86" s="3"/>
      <c r="E86"/>
      <c r="F86"/>
    </row>
    <row r="87" spans="1:6" x14ac:dyDescent="0.3">
      <c r="A87"/>
      <c r="C87" s="3"/>
      <c r="E87"/>
      <c r="F87"/>
    </row>
    <row r="88" spans="1:6" x14ac:dyDescent="0.3">
      <c r="A88"/>
      <c r="C88" s="3"/>
      <c r="E88"/>
      <c r="F88"/>
    </row>
    <row r="89" spans="1:6" x14ac:dyDescent="0.3">
      <c r="A89"/>
      <c r="C89" s="3"/>
      <c r="E89" s="1"/>
      <c r="F89"/>
    </row>
    <row r="90" spans="1:6" x14ac:dyDescent="0.3">
      <c r="A90"/>
      <c r="C90" s="3"/>
      <c r="E90" s="1"/>
      <c r="F90"/>
    </row>
    <row r="91" spans="1:6" x14ac:dyDescent="0.3">
      <c r="A91"/>
      <c r="C91" s="3"/>
      <c r="E91" s="1"/>
      <c r="F91"/>
    </row>
    <row r="92" spans="1:6" x14ac:dyDescent="0.3">
      <c r="A92"/>
      <c r="C92" s="3"/>
      <c r="E92" s="1"/>
      <c r="F92"/>
    </row>
    <row r="93" spans="1:6" x14ac:dyDescent="0.3">
      <c r="A93"/>
      <c r="C93" s="3"/>
      <c r="E93" s="1"/>
      <c r="F93"/>
    </row>
    <row r="94" spans="1:6" x14ac:dyDescent="0.3">
      <c r="A94"/>
      <c r="C94" s="3"/>
      <c r="E94" s="1"/>
      <c r="F94"/>
    </row>
    <row r="95" spans="1:6" x14ac:dyDescent="0.3">
      <c r="A95"/>
      <c r="C95" s="3"/>
      <c r="E95" s="1"/>
      <c r="F95"/>
    </row>
    <row r="96" spans="1:6" x14ac:dyDescent="0.3">
      <c r="A96"/>
      <c r="C96" s="3"/>
      <c r="E96" s="1"/>
      <c r="F96"/>
    </row>
    <row r="97" spans="1:6" x14ac:dyDescent="0.3">
      <c r="A97"/>
      <c r="C97" s="3"/>
      <c r="E97" s="1"/>
      <c r="F97"/>
    </row>
    <row r="98" spans="1:6" x14ac:dyDescent="0.3">
      <c r="A98"/>
      <c r="C98" s="3"/>
      <c r="E98" s="1"/>
      <c r="F98"/>
    </row>
    <row r="99" spans="1:6" x14ac:dyDescent="0.3">
      <c r="F99"/>
    </row>
    <row r="100" spans="1:6" x14ac:dyDescent="0.3">
      <c r="F100"/>
    </row>
    <row r="101" spans="1:6" x14ac:dyDescent="0.3">
      <c r="F101"/>
    </row>
    <row r="102" spans="1:6" x14ac:dyDescent="0.3">
      <c r="F102"/>
    </row>
    <row r="103" spans="1:6" x14ac:dyDescent="0.3">
      <c r="F103"/>
    </row>
    <row r="104" spans="1:6" x14ac:dyDescent="0.3">
      <c r="F104"/>
    </row>
    <row r="105" spans="1:6" x14ac:dyDescent="0.3">
      <c r="F105"/>
    </row>
    <row r="106" spans="1:6" x14ac:dyDescent="0.3">
      <c r="F106"/>
    </row>
    <row r="107" spans="1:6" x14ac:dyDescent="0.3">
      <c r="F107"/>
    </row>
    <row r="108" spans="1:6" x14ac:dyDescent="0.3">
      <c r="F108"/>
    </row>
    <row r="109" spans="1:6" x14ac:dyDescent="0.3">
      <c r="F109"/>
    </row>
    <row r="110" spans="1:6" x14ac:dyDescent="0.3">
      <c r="F110"/>
    </row>
    <row r="111" spans="1:6" x14ac:dyDescent="0.3">
      <c r="F111"/>
    </row>
    <row r="112" spans="1:6" x14ac:dyDescent="0.3">
      <c r="F112"/>
    </row>
    <row r="113" spans="6:6" x14ac:dyDescent="0.3">
      <c r="F113"/>
    </row>
    <row r="114" spans="6:6" x14ac:dyDescent="0.3">
      <c r="F114"/>
    </row>
    <row r="115" spans="6:6" x14ac:dyDescent="0.3">
      <c r="F115"/>
    </row>
    <row r="116" spans="6:6" x14ac:dyDescent="0.3">
      <c r="F116"/>
    </row>
    <row r="117" spans="6:6" x14ac:dyDescent="0.3">
      <c r="F117"/>
    </row>
    <row r="118" spans="6:6" x14ac:dyDescent="0.3">
      <c r="F118"/>
    </row>
    <row r="119" spans="6:6" x14ac:dyDescent="0.3">
      <c r="F119"/>
    </row>
    <row r="120" spans="6:6" x14ac:dyDescent="0.3">
      <c r="F120"/>
    </row>
    <row r="121" spans="6:6" x14ac:dyDescent="0.3">
      <c r="F121"/>
    </row>
    <row r="122" spans="6:6" x14ac:dyDescent="0.3">
      <c r="F122"/>
    </row>
    <row r="123" spans="6:6" x14ac:dyDescent="0.3">
      <c r="F123"/>
    </row>
    <row r="124" spans="6:6" x14ac:dyDescent="0.3">
      <c r="F124"/>
    </row>
    <row r="125" spans="6:6" x14ac:dyDescent="0.3">
      <c r="F125"/>
    </row>
    <row r="126" spans="6:6" x14ac:dyDescent="0.3">
      <c r="F126"/>
    </row>
    <row r="127" spans="6:6" x14ac:dyDescent="0.3">
      <c r="F127"/>
    </row>
    <row r="128" spans="6:6" x14ac:dyDescent="0.3">
      <c r="F128"/>
    </row>
    <row r="129" spans="6:6" x14ac:dyDescent="0.3">
      <c r="F129"/>
    </row>
    <row r="130" spans="6:6" x14ac:dyDescent="0.3">
      <c r="F130"/>
    </row>
    <row r="131" spans="6:6" x14ac:dyDescent="0.3">
      <c r="F131"/>
    </row>
    <row r="132" spans="6:6" x14ac:dyDescent="0.3">
      <c r="F132"/>
    </row>
    <row r="133" spans="6:6" x14ac:dyDescent="0.3">
      <c r="F133"/>
    </row>
    <row r="134" spans="6:6" x14ac:dyDescent="0.3">
      <c r="F134"/>
    </row>
    <row r="135" spans="6:6" x14ac:dyDescent="0.3">
      <c r="F135"/>
    </row>
    <row r="136" spans="6:6" x14ac:dyDescent="0.3">
      <c r="F136"/>
    </row>
    <row r="137" spans="6:6" x14ac:dyDescent="0.3">
      <c r="F137"/>
    </row>
    <row r="138" spans="6:6" x14ac:dyDescent="0.3">
      <c r="F138"/>
    </row>
    <row r="139" spans="6:6" x14ac:dyDescent="0.3">
      <c r="F139"/>
    </row>
    <row r="140" spans="6:6" x14ac:dyDescent="0.3">
      <c r="F140"/>
    </row>
    <row r="141" spans="6:6" x14ac:dyDescent="0.3">
      <c r="F141"/>
    </row>
    <row r="142" spans="6:6" x14ac:dyDescent="0.3">
      <c r="F142"/>
    </row>
    <row r="143" spans="6:6" x14ac:dyDescent="0.3">
      <c r="F143"/>
    </row>
    <row r="144" spans="6:6" x14ac:dyDescent="0.3">
      <c r="F144"/>
    </row>
    <row r="145" spans="6:6" x14ac:dyDescent="0.3">
      <c r="F145"/>
    </row>
    <row r="146" spans="6:6" x14ac:dyDescent="0.3">
      <c r="F146"/>
    </row>
    <row r="147" spans="6:6" x14ac:dyDescent="0.3">
      <c r="F147"/>
    </row>
    <row r="148" spans="6:6" x14ac:dyDescent="0.3">
      <c r="F148"/>
    </row>
    <row r="149" spans="6:6" x14ac:dyDescent="0.3">
      <c r="F149"/>
    </row>
    <row r="150" spans="6:6" x14ac:dyDescent="0.3">
      <c r="F150"/>
    </row>
    <row r="151" spans="6:6" x14ac:dyDescent="0.3">
      <c r="F151"/>
    </row>
    <row r="152" spans="6:6" x14ac:dyDescent="0.3">
      <c r="F152"/>
    </row>
    <row r="153" spans="6:6" x14ac:dyDescent="0.3">
      <c r="F153"/>
    </row>
    <row r="154" spans="6:6" x14ac:dyDescent="0.3">
      <c r="F154"/>
    </row>
    <row r="155" spans="6:6" x14ac:dyDescent="0.3">
      <c r="F155"/>
    </row>
    <row r="156" spans="6:6" x14ac:dyDescent="0.3">
      <c r="F156"/>
    </row>
    <row r="157" spans="6:6" x14ac:dyDescent="0.3">
      <c r="F157"/>
    </row>
    <row r="158" spans="6:6" x14ac:dyDescent="0.3">
      <c r="F158"/>
    </row>
    <row r="159" spans="6:6" x14ac:dyDescent="0.3">
      <c r="F159"/>
    </row>
    <row r="160" spans="6:6" x14ac:dyDescent="0.3">
      <c r="F160"/>
    </row>
    <row r="161" spans="6:6" x14ac:dyDescent="0.3">
      <c r="F161"/>
    </row>
    <row r="162" spans="6:6" x14ac:dyDescent="0.3">
      <c r="F162"/>
    </row>
    <row r="163" spans="6:6" x14ac:dyDescent="0.3">
      <c r="F163"/>
    </row>
    <row r="164" spans="6:6" x14ac:dyDescent="0.3">
      <c r="F164"/>
    </row>
    <row r="165" spans="6:6" x14ac:dyDescent="0.3">
      <c r="F165"/>
    </row>
    <row r="166" spans="6:6" x14ac:dyDescent="0.3">
      <c r="F166"/>
    </row>
    <row r="167" spans="6:6" x14ac:dyDescent="0.3">
      <c r="F167"/>
    </row>
    <row r="168" spans="6:6" x14ac:dyDescent="0.3">
      <c r="F168"/>
    </row>
    <row r="169" spans="6:6" x14ac:dyDescent="0.3">
      <c r="F169"/>
    </row>
    <row r="170" spans="6:6" x14ac:dyDescent="0.3">
      <c r="F170"/>
    </row>
    <row r="171" spans="6:6" x14ac:dyDescent="0.3">
      <c r="F171"/>
    </row>
    <row r="172" spans="6:6" x14ac:dyDescent="0.3">
      <c r="F172"/>
    </row>
    <row r="173" spans="6:6" x14ac:dyDescent="0.3">
      <c r="F173"/>
    </row>
    <row r="174" spans="6:6" x14ac:dyDescent="0.3">
      <c r="F174"/>
    </row>
    <row r="175" spans="6:6" x14ac:dyDescent="0.3">
      <c r="F175"/>
    </row>
    <row r="176" spans="6:6" x14ac:dyDescent="0.3">
      <c r="F176"/>
    </row>
    <row r="177" spans="6:6" x14ac:dyDescent="0.3">
      <c r="F177"/>
    </row>
    <row r="178" spans="6:6" x14ac:dyDescent="0.3">
      <c r="F178"/>
    </row>
    <row r="179" spans="6:6" x14ac:dyDescent="0.3">
      <c r="F179"/>
    </row>
    <row r="180" spans="6:6" x14ac:dyDescent="0.3">
      <c r="F180"/>
    </row>
    <row r="181" spans="6:6" x14ac:dyDescent="0.3">
      <c r="F181"/>
    </row>
    <row r="182" spans="6:6" x14ac:dyDescent="0.3">
      <c r="F182"/>
    </row>
    <row r="183" spans="6:6" x14ac:dyDescent="0.3">
      <c r="F183"/>
    </row>
    <row r="184" spans="6:6" x14ac:dyDescent="0.3">
      <c r="F184"/>
    </row>
    <row r="185" spans="6:6" x14ac:dyDescent="0.3">
      <c r="F185"/>
    </row>
    <row r="186" spans="6:6" x14ac:dyDescent="0.3">
      <c r="F186"/>
    </row>
    <row r="187" spans="6:6" x14ac:dyDescent="0.3">
      <c r="F187"/>
    </row>
    <row r="188" spans="6:6" x14ac:dyDescent="0.3">
      <c r="F188"/>
    </row>
    <row r="189" spans="6:6" x14ac:dyDescent="0.3">
      <c r="F189"/>
    </row>
    <row r="190" spans="6:6" x14ac:dyDescent="0.3">
      <c r="F190"/>
    </row>
    <row r="191" spans="6:6" x14ac:dyDescent="0.3">
      <c r="F191"/>
    </row>
    <row r="192" spans="6:6" x14ac:dyDescent="0.3">
      <c r="F192"/>
    </row>
    <row r="193" spans="6:6" x14ac:dyDescent="0.3">
      <c r="F193"/>
    </row>
    <row r="194" spans="6:6" x14ac:dyDescent="0.3">
      <c r="F194"/>
    </row>
    <row r="195" spans="6:6" x14ac:dyDescent="0.3">
      <c r="F195"/>
    </row>
    <row r="196" spans="6:6" x14ac:dyDescent="0.3">
      <c r="F196"/>
    </row>
    <row r="197" spans="6:6" x14ac:dyDescent="0.3">
      <c r="F197"/>
    </row>
    <row r="198" spans="6:6" x14ac:dyDescent="0.3">
      <c r="F198"/>
    </row>
    <row r="199" spans="6:6" x14ac:dyDescent="0.3">
      <c r="F199"/>
    </row>
    <row r="200" spans="6:6" x14ac:dyDescent="0.3">
      <c r="F200"/>
    </row>
    <row r="201" spans="6:6" x14ac:dyDescent="0.3">
      <c r="F201"/>
    </row>
    <row r="202" spans="6:6" x14ac:dyDescent="0.3">
      <c r="F202"/>
    </row>
    <row r="203" spans="6:6" x14ac:dyDescent="0.3">
      <c r="F203"/>
    </row>
    <row r="204" spans="6:6" x14ac:dyDescent="0.3">
      <c r="F204"/>
    </row>
    <row r="205" spans="6:6" x14ac:dyDescent="0.3">
      <c r="F205"/>
    </row>
    <row r="206" spans="6:6" x14ac:dyDescent="0.3">
      <c r="F206"/>
    </row>
    <row r="207" spans="6:6" x14ac:dyDescent="0.3">
      <c r="F207"/>
    </row>
    <row r="208" spans="6:6" x14ac:dyDescent="0.3">
      <c r="F208"/>
    </row>
    <row r="209" spans="6:6" x14ac:dyDescent="0.3">
      <c r="F209"/>
    </row>
    <row r="210" spans="6:6" x14ac:dyDescent="0.3">
      <c r="F210"/>
    </row>
    <row r="211" spans="6:6" x14ac:dyDescent="0.3">
      <c r="F211"/>
    </row>
    <row r="212" spans="6:6" x14ac:dyDescent="0.3">
      <c r="F212"/>
    </row>
    <row r="213" spans="6:6" x14ac:dyDescent="0.3">
      <c r="F213"/>
    </row>
    <row r="214" spans="6:6" x14ac:dyDescent="0.3">
      <c r="F214"/>
    </row>
    <row r="215" spans="6:6" x14ac:dyDescent="0.3">
      <c r="F215"/>
    </row>
    <row r="216" spans="6:6" x14ac:dyDescent="0.3">
      <c r="F216"/>
    </row>
    <row r="217" spans="6:6" x14ac:dyDescent="0.3">
      <c r="F217"/>
    </row>
    <row r="218" spans="6:6" x14ac:dyDescent="0.3">
      <c r="F218"/>
    </row>
    <row r="219" spans="6:6" x14ac:dyDescent="0.3">
      <c r="F219"/>
    </row>
    <row r="220" spans="6:6" x14ac:dyDescent="0.3">
      <c r="F220"/>
    </row>
    <row r="221" spans="6:6" x14ac:dyDescent="0.3">
      <c r="F221"/>
    </row>
    <row r="222" spans="6:6" x14ac:dyDescent="0.3">
      <c r="F222"/>
    </row>
    <row r="223" spans="6:6" x14ac:dyDescent="0.3">
      <c r="F223"/>
    </row>
    <row r="224" spans="6:6" x14ac:dyDescent="0.3">
      <c r="F224"/>
    </row>
    <row r="225" spans="6:6" x14ac:dyDescent="0.3">
      <c r="F225"/>
    </row>
    <row r="226" spans="6:6" x14ac:dyDescent="0.3">
      <c r="F226"/>
    </row>
    <row r="227" spans="6:6" x14ac:dyDescent="0.3">
      <c r="F227"/>
    </row>
    <row r="228" spans="6:6" x14ac:dyDescent="0.3">
      <c r="F228"/>
    </row>
    <row r="229" spans="6:6" x14ac:dyDescent="0.3">
      <c r="F229"/>
    </row>
    <row r="230" spans="6:6" x14ac:dyDescent="0.3">
      <c r="F230"/>
    </row>
    <row r="231" spans="6:6" x14ac:dyDescent="0.3">
      <c r="F231"/>
    </row>
    <row r="232" spans="6:6" x14ac:dyDescent="0.3">
      <c r="F232"/>
    </row>
    <row r="233" spans="6:6" x14ac:dyDescent="0.3">
      <c r="F233"/>
    </row>
    <row r="234" spans="6:6" x14ac:dyDescent="0.3">
      <c r="F234"/>
    </row>
    <row r="235" spans="6:6" x14ac:dyDescent="0.3">
      <c r="F235"/>
    </row>
    <row r="236" spans="6:6" x14ac:dyDescent="0.3">
      <c r="F236"/>
    </row>
    <row r="237" spans="6:6" x14ac:dyDescent="0.3">
      <c r="F237"/>
    </row>
    <row r="238" spans="6:6" x14ac:dyDescent="0.3">
      <c r="F238"/>
    </row>
    <row r="239" spans="6:6" x14ac:dyDescent="0.3">
      <c r="F239"/>
    </row>
    <row r="240" spans="6:6" x14ac:dyDescent="0.3">
      <c r="F240"/>
    </row>
    <row r="241" spans="6:6" x14ac:dyDescent="0.3">
      <c r="F241"/>
    </row>
    <row r="242" spans="6:6" x14ac:dyDescent="0.3">
      <c r="F242"/>
    </row>
    <row r="243" spans="6:6" x14ac:dyDescent="0.3">
      <c r="F243"/>
    </row>
    <row r="244" spans="6:6" x14ac:dyDescent="0.3">
      <c r="F244"/>
    </row>
    <row r="245" spans="6:6" x14ac:dyDescent="0.3">
      <c r="F245"/>
    </row>
    <row r="246" spans="6:6" x14ac:dyDescent="0.3">
      <c r="F246"/>
    </row>
    <row r="247" spans="6:6" x14ac:dyDescent="0.3">
      <c r="F247"/>
    </row>
    <row r="248" spans="6:6" x14ac:dyDescent="0.3">
      <c r="F248"/>
    </row>
    <row r="249" spans="6:6" x14ac:dyDescent="0.3">
      <c r="F249"/>
    </row>
    <row r="250" spans="6:6" x14ac:dyDescent="0.3">
      <c r="F250"/>
    </row>
    <row r="251" spans="6:6" x14ac:dyDescent="0.3">
      <c r="F251"/>
    </row>
    <row r="252" spans="6:6" x14ac:dyDescent="0.3">
      <c r="F252"/>
    </row>
    <row r="253" spans="6:6" x14ac:dyDescent="0.3">
      <c r="F253"/>
    </row>
    <row r="254" spans="6:6" x14ac:dyDescent="0.3">
      <c r="F254"/>
    </row>
    <row r="255" spans="6:6" x14ac:dyDescent="0.3">
      <c r="F255"/>
    </row>
    <row r="256" spans="6:6" x14ac:dyDescent="0.3">
      <c r="F256"/>
    </row>
    <row r="257" spans="6:6" x14ac:dyDescent="0.3">
      <c r="F257"/>
    </row>
    <row r="258" spans="6:6" x14ac:dyDescent="0.3">
      <c r="F258"/>
    </row>
    <row r="259" spans="6:6" x14ac:dyDescent="0.3">
      <c r="F259"/>
    </row>
    <row r="260" spans="6:6" x14ac:dyDescent="0.3">
      <c r="F260"/>
    </row>
    <row r="261" spans="6:6" x14ac:dyDescent="0.3">
      <c r="F261"/>
    </row>
    <row r="262" spans="6:6" x14ac:dyDescent="0.3">
      <c r="F262"/>
    </row>
    <row r="263" spans="6:6" x14ac:dyDescent="0.3">
      <c r="F263"/>
    </row>
    <row r="264" spans="6:6" x14ac:dyDescent="0.3">
      <c r="F264"/>
    </row>
    <row r="265" spans="6:6" x14ac:dyDescent="0.3">
      <c r="F265"/>
    </row>
    <row r="266" spans="6:6" x14ac:dyDescent="0.3">
      <c r="F266"/>
    </row>
    <row r="267" spans="6:6" x14ac:dyDescent="0.3">
      <c r="F267"/>
    </row>
    <row r="268" spans="6:6" x14ac:dyDescent="0.3">
      <c r="F268"/>
    </row>
    <row r="269" spans="6:6" x14ac:dyDescent="0.3">
      <c r="F269"/>
    </row>
    <row r="270" spans="6:6" x14ac:dyDescent="0.3">
      <c r="F270"/>
    </row>
  </sheetData>
  <mergeCells count="13">
    <mergeCell ref="G1:J1"/>
    <mergeCell ref="A10:A24"/>
    <mergeCell ref="D12:D14"/>
    <mergeCell ref="A3:A8"/>
    <mergeCell ref="B3:B8"/>
    <mergeCell ref="C3:C8"/>
    <mergeCell ref="D15:D16"/>
    <mergeCell ref="D17:D23"/>
    <mergeCell ref="M3:M8"/>
    <mergeCell ref="N3:N8"/>
    <mergeCell ref="O3:O8"/>
    <mergeCell ref="K3:K8"/>
    <mergeCell ref="L3:L8"/>
  </mergeCells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Feuil10"/>
  <dimension ref="A1:K227"/>
  <sheetViews>
    <sheetView zoomScale="85" zoomScaleNormal="85" workbookViewId="0">
      <selection activeCell="E4" sqref="E4:E7"/>
    </sheetView>
  </sheetViews>
  <sheetFormatPr baseColWidth="10" defaultColWidth="11.44140625" defaultRowHeight="14.4" x14ac:dyDescent="0.3"/>
  <cols>
    <col min="1" max="1" width="33.4414062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29.664062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82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81</v>
      </c>
      <c r="B4" s="1025" t="s">
        <v>82</v>
      </c>
      <c r="C4" s="1034" t="s">
        <v>83</v>
      </c>
      <c r="D4" s="125" t="s">
        <v>234</v>
      </c>
      <c r="E4" s="125">
        <f>SUM(E5:E7)</f>
        <v>1.3380000000000001</v>
      </c>
      <c r="F4" s="1043"/>
      <c r="G4" s="1031" t="s">
        <v>459</v>
      </c>
      <c r="H4" s="1031" t="s">
        <v>86</v>
      </c>
      <c r="I4" s="1150" t="s">
        <v>87</v>
      </c>
      <c r="J4" s="1150">
        <v>408</v>
      </c>
      <c r="K4" s="1136" t="s">
        <v>30</v>
      </c>
    </row>
    <row r="5" spans="1:11" x14ac:dyDescent="0.3">
      <c r="A5" s="1113"/>
      <c r="B5" s="1026"/>
      <c r="C5" s="1035"/>
      <c r="D5" s="412" t="s">
        <v>269</v>
      </c>
      <c r="E5" s="413">
        <f>SUM(E11:E11)</f>
        <v>0.40400000000000003</v>
      </c>
      <c r="F5" s="985"/>
      <c r="G5" s="1032"/>
      <c r="H5" s="1032"/>
      <c r="I5" s="1151"/>
      <c r="J5" s="1151"/>
      <c r="K5" s="1137"/>
    </row>
    <row r="6" spans="1:11" x14ac:dyDescent="0.3">
      <c r="A6" s="1113"/>
      <c r="B6" s="1026"/>
      <c r="C6" s="1035"/>
      <c r="D6" s="72" t="s">
        <v>91</v>
      </c>
      <c r="E6" s="277">
        <f>SUM(E12:E16)</f>
        <v>0.93100000000000016</v>
      </c>
      <c r="F6" s="985"/>
      <c r="G6" s="1032"/>
      <c r="H6" s="1032"/>
      <c r="I6" s="1151"/>
      <c r="J6" s="1151"/>
      <c r="K6" s="1137"/>
    </row>
    <row r="7" spans="1:11" x14ac:dyDescent="0.3">
      <c r="A7" s="1113"/>
      <c r="B7" s="1026"/>
      <c r="C7" s="1035"/>
      <c r="D7" s="172" t="s">
        <v>253</v>
      </c>
      <c r="E7" s="172">
        <f>SUM(E17:E17)</f>
        <v>3.0000000000000001E-3</v>
      </c>
      <c r="F7" s="985"/>
      <c r="G7" s="1032"/>
      <c r="H7" s="1032"/>
      <c r="I7" s="1151"/>
      <c r="J7" s="1151"/>
      <c r="K7" s="1137"/>
    </row>
    <row r="8" spans="1:11" ht="15" thickBot="1" x14ac:dyDescent="0.35">
      <c r="A8" s="1072"/>
      <c r="B8" s="1027"/>
      <c r="C8" s="1036"/>
      <c r="D8" s="80"/>
      <c r="E8" s="53"/>
      <c r="F8" s="1044"/>
      <c r="G8" s="1033"/>
      <c r="H8" s="1033"/>
      <c r="I8" s="1152"/>
      <c r="J8" s="1152"/>
      <c r="K8" s="1138"/>
    </row>
    <row r="9" spans="1:11" ht="15" thickBot="1" x14ac:dyDescent="0.35">
      <c r="A9"/>
      <c r="C9" s="3"/>
      <c r="E9" s="1"/>
      <c r="F9"/>
    </row>
    <row r="10" spans="1:11" x14ac:dyDescent="0.3">
      <c r="A10" s="1101" t="s">
        <v>81</v>
      </c>
      <c r="B10" s="83" t="s">
        <v>82</v>
      </c>
      <c r="C10" s="44"/>
      <c r="D10" s="90" t="s">
        <v>532</v>
      </c>
      <c r="E10" s="92">
        <f>SUM(E11:E17)</f>
        <v>1.3379999999999996</v>
      </c>
      <c r="F10" s="5"/>
      <c r="G10" s="38"/>
      <c r="H10" s="5"/>
      <c r="I10" s="5"/>
      <c r="J10" s="5"/>
      <c r="K10" s="6"/>
    </row>
    <row r="11" spans="1:11" x14ac:dyDescent="0.3">
      <c r="A11" s="1102"/>
      <c r="B11" s="191" t="s">
        <v>835</v>
      </c>
      <c r="C11" s="69"/>
      <c r="D11" s="307" t="s">
        <v>269</v>
      </c>
      <c r="E11" s="411">
        <v>0.40400000000000003</v>
      </c>
      <c r="F11" s="3"/>
      <c r="G11" s="3"/>
      <c r="K11" s="8"/>
    </row>
    <row r="12" spans="1:11" x14ac:dyDescent="0.3">
      <c r="A12" s="1102"/>
      <c r="B12" s="103" t="s">
        <v>836</v>
      </c>
      <c r="C12" s="3"/>
      <c r="D12" s="1149" t="s">
        <v>91</v>
      </c>
      <c r="E12" s="159">
        <v>0.77400000000000002</v>
      </c>
      <c r="F12" s="3"/>
      <c r="K12" s="8"/>
    </row>
    <row r="13" spans="1:11" x14ac:dyDescent="0.3">
      <c r="A13" s="1102"/>
      <c r="B13" s="103" t="s">
        <v>837</v>
      </c>
      <c r="C13" s="3"/>
      <c r="D13" s="1149"/>
      <c r="E13" s="159">
        <v>4.2999999999999997E-2</v>
      </c>
      <c r="F13" s="3"/>
      <c r="K13" s="8"/>
    </row>
    <row r="14" spans="1:11" x14ac:dyDescent="0.3">
      <c r="A14" s="1102"/>
      <c r="B14" s="103" t="s">
        <v>838</v>
      </c>
      <c r="C14" s="3"/>
      <c r="D14" s="1149"/>
      <c r="E14" s="159">
        <v>6.7000000000000004E-2</v>
      </c>
      <c r="F14" s="3"/>
      <c r="K14" s="8"/>
    </row>
    <row r="15" spans="1:11" x14ac:dyDescent="0.3">
      <c r="A15" s="1102"/>
      <c r="B15" s="103" t="s">
        <v>839</v>
      </c>
      <c r="C15" s="3"/>
      <c r="D15" s="1149"/>
      <c r="E15" s="159">
        <v>2.5000000000000001E-2</v>
      </c>
      <c r="F15" s="3"/>
      <c r="K15" s="8"/>
    </row>
    <row r="16" spans="1:11" x14ac:dyDescent="0.3">
      <c r="A16" s="1102"/>
      <c r="B16" s="103" t="s">
        <v>840</v>
      </c>
      <c r="C16" s="3"/>
      <c r="D16" s="1149"/>
      <c r="E16" s="159">
        <v>2.1999999999999999E-2</v>
      </c>
      <c r="F16" s="3"/>
      <c r="K16" s="8"/>
    </row>
    <row r="17" spans="1:11" x14ac:dyDescent="0.3">
      <c r="A17" s="1102"/>
      <c r="B17" s="193" t="s">
        <v>841</v>
      </c>
      <c r="C17" s="3"/>
      <c r="D17" s="173" t="s">
        <v>253</v>
      </c>
      <c r="E17" s="173">
        <v>3.0000000000000001E-3</v>
      </c>
      <c r="F17" s="3"/>
      <c r="K17" s="8"/>
    </row>
    <row r="18" spans="1:11" ht="15" thickBot="1" x14ac:dyDescent="0.35">
      <c r="A18" s="1103"/>
      <c r="B18" s="89"/>
      <c r="C18" s="9"/>
      <c r="D18" s="91"/>
      <c r="E18" s="91"/>
      <c r="F18" s="9"/>
      <c r="G18" s="9"/>
      <c r="H18" s="9"/>
      <c r="I18" s="9"/>
      <c r="J18" s="9"/>
      <c r="K18" s="10"/>
    </row>
    <row r="19" spans="1:11" x14ac:dyDescent="0.3">
      <c r="A19"/>
      <c r="C19"/>
      <c r="E19"/>
      <c r="F19"/>
    </row>
    <row r="20" spans="1:11" x14ac:dyDescent="0.3">
      <c r="A20"/>
      <c r="C20"/>
      <c r="E20"/>
      <c r="F20"/>
    </row>
    <row r="21" spans="1:11" x14ac:dyDescent="0.3">
      <c r="A21"/>
      <c r="C21"/>
      <c r="E21"/>
      <c r="F21"/>
    </row>
    <row r="22" spans="1:11" x14ac:dyDescent="0.3">
      <c r="A22"/>
      <c r="C22"/>
      <c r="E22"/>
      <c r="F22"/>
    </row>
    <row r="23" spans="1:11" x14ac:dyDescent="0.3">
      <c r="A23"/>
      <c r="C23"/>
      <c r="E23"/>
      <c r="F23"/>
    </row>
    <row r="24" spans="1:11" x14ac:dyDescent="0.3">
      <c r="A24"/>
      <c r="C24"/>
      <c r="E24"/>
      <c r="F24"/>
    </row>
    <row r="25" spans="1:11" x14ac:dyDescent="0.3">
      <c r="A25"/>
      <c r="C25"/>
      <c r="E25"/>
      <c r="F25"/>
    </row>
    <row r="26" spans="1:11" x14ac:dyDescent="0.3">
      <c r="A26"/>
      <c r="C26"/>
      <c r="E26"/>
      <c r="F26"/>
    </row>
    <row r="27" spans="1:11" x14ac:dyDescent="0.3">
      <c r="A27"/>
      <c r="C27"/>
      <c r="E27"/>
      <c r="F27"/>
    </row>
    <row r="28" spans="1:11" x14ac:dyDescent="0.3">
      <c r="A28"/>
      <c r="C28"/>
      <c r="E28"/>
      <c r="F28"/>
    </row>
    <row r="29" spans="1:11" x14ac:dyDescent="0.3">
      <c r="A29"/>
      <c r="C29"/>
      <c r="E29"/>
      <c r="F29"/>
    </row>
    <row r="30" spans="1:11" x14ac:dyDescent="0.3">
      <c r="A30"/>
      <c r="C30"/>
      <c r="E30"/>
      <c r="F30"/>
    </row>
    <row r="31" spans="1:11" x14ac:dyDescent="0.3">
      <c r="A31"/>
      <c r="C31"/>
      <c r="E31"/>
      <c r="F31"/>
    </row>
    <row r="32" spans="1:11" ht="15" customHeight="1" x14ac:dyDescent="0.3">
      <c r="A32"/>
      <c r="C32"/>
      <c r="E32"/>
      <c r="F32"/>
    </row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ht="15" customHeight="1" x14ac:dyDescent="0.3"/>
    <row r="61" customFormat="1" x14ac:dyDescent="0.3"/>
    <row r="62" customFormat="1" x14ac:dyDescent="0.3"/>
    <row r="63" customFormat="1" x14ac:dyDescent="0.3"/>
    <row r="64" customFormat="1" ht="15" customHeight="1" x14ac:dyDescent="0.3"/>
    <row r="65" customFormat="1" x14ac:dyDescent="0.3"/>
    <row r="66" customFormat="1" x14ac:dyDescent="0.3"/>
    <row r="67" customFormat="1" ht="15" customHeigh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ht="15" customHeight="1" x14ac:dyDescent="0.3"/>
    <row r="103" customFormat="1" x14ac:dyDescent="0.3"/>
    <row r="104" customFormat="1" x14ac:dyDescent="0.3"/>
    <row r="105" customFormat="1" ht="15" customHeigh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ht="15" customHeigh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spans="1:6" customForma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ht="15" customHeight="1" x14ac:dyDescent="0.3"/>
    <row r="134" spans="1:6" customFormat="1" x14ac:dyDescent="0.3"/>
    <row r="135" spans="1:6" customFormat="1" x14ac:dyDescent="0.3"/>
    <row r="136" spans="1:6" customFormat="1" x14ac:dyDescent="0.3"/>
    <row r="137" spans="1:6" customFormat="1" x14ac:dyDescent="0.3"/>
    <row r="138" spans="1:6" customFormat="1" x14ac:dyDescent="0.3"/>
    <row r="139" spans="1:6" customFormat="1" x14ac:dyDescent="0.3"/>
    <row r="140" spans="1:6" x14ac:dyDescent="0.3">
      <c r="A140"/>
      <c r="C140" s="3"/>
      <c r="E140" s="1"/>
      <c r="F140"/>
    </row>
    <row r="141" spans="1:6" x14ac:dyDescent="0.3">
      <c r="A141"/>
      <c r="C141" s="3"/>
      <c r="E141" s="1"/>
      <c r="F141"/>
    </row>
    <row r="142" spans="1:6" x14ac:dyDescent="0.3">
      <c r="A142"/>
      <c r="C142" s="3"/>
      <c r="E142" s="1"/>
      <c r="F142"/>
    </row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ht="15" customHeight="1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ht="15" customHeight="1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</sheetData>
  <mergeCells count="11">
    <mergeCell ref="I4:I8"/>
    <mergeCell ref="J4:J8"/>
    <mergeCell ref="K4:K8"/>
    <mergeCell ref="A10:A18"/>
    <mergeCell ref="D12:D16"/>
    <mergeCell ref="A4:A8"/>
    <mergeCell ref="B4:B8"/>
    <mergeCell ref="F4:F8"/>
    <mergeCell ref="G4:G8"/>
    <mergeCell ref="H4:H8"/>
    <mergeCell ref="C4:C8"/>
  </mergeCells>
  <pageMargins left="0.7" right="0.7" top="0.75" bottom="0.75" header="0.3" footer="0.3"/>
  <pageSetup paperSize="9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 codeName="Feuil11"/>
  <dimension ref="A1:K228"/>
  <sheetViews>
    <sheetView topLeftCell="E1" zoomScale="85" zoomScaleNormal="85" workbookViewId="0">
      <selection activeCell="E4" sqref="E4:E7"/>
    </sheetView>
  </sheetViews>
  <sheetFormatPr baseColWidth="10" defaultColWidth="11.44140625" defaultRowHeight="14.4" x14ac:dyDescent="0.3"/>
  <cols>
    <col min="1" max="1" width="33.4414062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29.664062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89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88</v>
      </c>
      <c r="B4" s="1025" t="s">
        <v>89</v>
      </c>
      <c r="C4" s="1045" t="s">
        <v>90</v>
      </c>
      <c r="D4" s="125" t="s">
        <v>234</v>
      </c>
      <c r="E4" s="125">
        <f>SUM(E5:E6)</f>
        <v>1.0570916000000001</v>
      </c>
      <c r="F4" s="1043"/>
      <c r="G4" s="1007" t="s">
        <v>465</v>
      </c>
      <c r="H4" s="1007" t="s">
        <v>93</v>
      </c>
      <c r="I4" s="1087" t="s">
        <v>94</v>
      </c>
      <c r="J4" s="1007">
        <v>240</v>
      </c>
      <c r="K4" s="1136" t="s">
        <v>30</v>
      </c>
    </row>
    <row r="5" spans="1:11" x14ac:dyDescent="0.3">
      <c r="A5" s="1113"/>
      <c r="B5" s="1026"/>
      <c r="C5" s="1046"/>
      <c r="D5" s="72" t="s">
        <v>91</v>
      </c>
      <c r="E5" s="277">
        <f>SUM(E11:E12)</f>
        <v>1.03</v>
      </c>
      <c r="F5" s="985"/>
      <c r="G5" s="1008"/>
      <c r="H5" s="1008"/>
      <c r="I5" s="1128"/>
      <c r="J5" s="1008"/>
      <c r="K5" s="1137"/>
    </row>
    <row r="6" spans="1:11" x14ac:dyDescent="0.3">
      <c r="A6" s="1113"/>
      <c r="B6" s="1026"/>
      <c r="C6" s="1046"/>
      <c r="D6" s="172" t="s">
        <v>253</v>
      </c>
      <c r="E6" s="172">
        <f>SUM(E13:E17)</f>
        <v>2.70916E-2</v>
      </c>
      <c r="F6" s="985"/>
      <c r="G6" s="1008"/>
      <c r="H6" s="1008"/>
      <c r="I6" s="1128"/>
      <c r="J6" s="1008"/>
      <c r="K6" s="1137"/>
    </row>
    <row r="7" spans="1:11" x14ac:dyDescent="0.3">
      <c r="A7" s="1113"/>
      <c r="B7" s="1026"/>
      <c r="C7" s="1046"/>
      <c r="D7" s="350" t="s">
        <v>255</v>
      </c>
      <c r="E7" s="350">
        <f>SUM(E18)</f>
        <v>7.0000000000000001E-3</v>
      </c>
      <c r="F7" s="985"/>
      <c r="G7" s="1008"/>
      <c r="H7" s="1008"/>
      <c r="I7" s="1128"/>
      <c r="J7" s="1008"/>
      <c r="K7" s="1142"/>
    </row>
    <row r="8" spans="1:11" ht="15" thickBot="1" x14ac:dyDescent="0.35">
      <c r="A8" s="1072"/>
      <c r="B8" s="1027"/>
      <c r="C8" s="1047"/>
      <c r="D8" s="80"/>
      <c r="E8" s="53"/>
      <c r="F8" s="1044"/>
      <c r="G8" s="1009"/>
      <c r="H8" s="1009"/>
      <c r="I8" s="1088"/>
      <c r="J8" s="1009"/>
      <c r="K8" s="1138"/>
    </row>
    <row r="9" spans="1:11" ht="15" thickBot="1" x14ac:dyDescent="0.35">
      <c r="A9"/>
      <c r="E9" s="1"/>
      <c r="F9"/>
    </row>
    <row r="10" spans="1:11" x14ac:dyDescent="0.3">
      <c r="A10" s="1101" t="s">
        <v>88</v>
      </c>
      <c r="B10" s="83" t="s">
        <v>89</v>
      </c>
      <c r="C10" s="131"/>
      <c r="D10" s="132" t="s">
        <v>532</v>
      </c>
      <c r="E10" s="92">
        <f>SUM(E11:E18)</f>
        <v>1.0640915999999996</v>
      </c>
      <c r="F10" s="5"/>
      <c r="G10" s="38"/>
      <c r="H10" s="5"/>
      <c r="I10" s="5"/>
      <c r="J10" s="5"/>
      <c r="K10" s="6"/>
    </row>
    <row r="11" spans="1:11" x14ac:dyDescent="0.3">
      <c r="A11" s="1102"/>
      <c r="B11" s="97" t="s">
        <v>842</v>
      </c>
      <c r="C11" s="130"/>
      <c r="D11" s="1153" t="s">
        <v>91</v>
      </c>
      <c r="E11" s="99">
        <v>0.997</v>
      </c>
      <c r="F11" s="3"/>
      <c r="G11" s="3"/>
      <c r="K11" s="8"/>
    </row>
    <row r="12" spans="1:11" x14ac:dyDescent="0.3">
      <c r="A12" s="1102"/>
      <c r="B12" s="97" t="s">
        <v>843</v>
      </c>
      <c r="C12" s="130"/>
      <c r="D12" s="1153"/>
      <c r="E12" s="99">
        <v>3.3000000000000002E-2</v>
      </c>
      <c r="F12" s="3"/>
      <c r="G12" s="3"/>
      <c r="K12" s="8"/>
    </row>
    <row r="13" spans="1:11" x14ac:dyDescent="0.3">
      <c r="A13" s="1102"/>
      <c r="B13" s="193" t="s">
        <v>844</v>
      </c>
      <c r="C13" s="116"/>
      <c r="D13" s="1154" t="s">
        <v>253</v>
      </c>
      <c r="E13" s="173">
        <v>7.0000000000000001E-3</v>
      </c>
      <c r="F13" s="3"/>
      <c r="K13" s="8"/>
    </row>
    <row r="14" spans="1:11" x14ac:dyDescent="0.3">
      <c r="A14" s="1102"/>
      <c r="B14" s="193" t="s">
        <v>845</v>
      </c>
      <c r="C14" s="116"/>
      <c r="D14" s="1154"/>
      <c r="E14" s="415">
        <v>7.6090000000000001E-4</v>
      </c>
      <c r="F14" s="3"/>
      <c r="K14" s="8"/>
    </row>
    <row r="15" spans="1:11" x14ac:dyDescent="0.3">
      <c r="A15" s="1102"/>
      <c r="B15" s="193" t="s">
        <v>582</v>
      </c>
      <c r="C15" s="116"/>
      <c r="D15" s="1154"/>
      <c r="E15" s="173">
        <v>1.4999999999999999E-2</v>
      </c>
      <c r="F15" s="3"/>
      <c r="K15" s="8"/>
    </row>
    <row r="16" spans="1:11" x14ac:dyDescent="0.3">
      <c r="A16" s="1102"/>
      <c r="B16" s="193" t="s">
        <v>846</v>
      </c>
      <c r="C16" s="116"/>
      <c r="D16" s="1154"/>
      <c r="E16" s="415">
        <v>3.3070000000000002E-4</v>
      </c>
      <c r="F16" s="3"/>
      <c r="K16" s="8"/>
    </row>
    <row r="17" spans="1:11" x14ac:dyDescent="0.3">
      <c r="A17" s="1102"/>
      <c r="B17" s="193" t="s">
        <v>847</v>
      </c>
      <c r="C17" s="116"/>
      <c r="D17" s="1154"/>
      <c r="E17" s="173">
        <v>4.0000000000000001E-3</v>
      </c>
      <c r="F17" s="3"/>
      <c r="K17" s="8"/>
    </row>
    <row r="18" spans="1:11" x14ac:dyDescent="0.3">
      <c r="A18" s="1102"/>
      <c r="B18" s="348" t="s">
        <v>848</v>
      </c>
      <c r="C18" s="116"/>
      <c r="D18" s="416" t="s">
        <v>255</v>
      </c>
      <c r="E18" s="349">
        <v>7.0000000000000001E-3</v>
      </c>
      <c r="F18" s="3"/>
      <c r="K18" s="8"/>
    </row>
    <row r="19" spans="1:11" ht="15" thickBot="1" x14ac:dyDescent="0.35">
      <c r="A19" s="1103"/>
      <c r="B19" s="89"/>
      <c r="C19" s="10"/>
      <c r="D19" s="10"/>
      <c r="E19" s="91"/>
      <c r="F19" s="9"/>
      <c r="G19" s="9"/>
      <c r="H19" s="9"/>
      <c r="I19" s="9"/>
      <c r="J19" s="9"/>
      <c r="K19" s="10"/>
    </row>
    <row r="20" spans="1:11" x14ac:dyDescent="0.3">
      <c r="A20"/>
      <c r="C20"/>
      <c r="E20"/>
      <c r="F20"/>
    </row>
    <row r="21" spans="1:11" x14ac:dyDescent="0.3">
      <c r="A21"/>
      <c r="C21"/>
      <c r="E21"/>
      <c r="F21"/>
    </row>
    <row r="22" spans="1:11" x14ac:dyDescent="0.3">
      <c r="A22"/>
      <c r="C22"/>
      <c r="E22"/>
      <c r="F22"/>
    </row>
    <row r="23" spans="1:11" x14ac:dyDescent="0.3">
      <c r="A23"/>
      <c r="C23"/>
      <c r="E23"/>
      <c r="F23"/>
    </row>
    <row r="24" spans="1:11" x14ac:dyDescent="0.3">
      <c r="A24"/>
      <c r="C24"/>
      <c r="E24"/>
      <c r="F24"/>
    </row>
    <row r="25" spans="1:11" x14ac:dyDescent="0.3">
      <c r="A25"/>
      <c r="C25"/>
      <c r="E25"/>
      <c r="F25"/>
    </row>
    <row r="26" spans="1:11" x14ac:dyDescent="0.3">
      <c r="A26"/>
      <c r="C26"/>
      <c r="E26"/>
      <c r="F26"/>
    </row>
    <row r="27" spans="1:11" x14ac:dyDescent="0.3">
      <c r="A27"/>
      <c r="C27"/>
      <c r="E27"/>
      <c r="F27"/>
    </row>
    <row r="28" spans="1:11" x14ac:dyDescent="0.3">
      <c r="A28"/>
      <c r="C28"/>
      <c r="E28"/>
      <c r="F28"/>
    </row>
    <row r="29" spans="1:11" x14ac:dyDescent="0.3">
      <c r="A29"/>
      <c r="C29"/>
      <c r="E29"/>
      <c r="F29"/>
    </row>
    <row r="30" spans="1:11" x14ac:dyDescent="0.3">
      <c r="A30"/>
      <c r="C30"/>
      <c r="E30"/>
      <c r="F30"/>
    </row>
    <row r="31" spans="1:11" x14ac:dyDescent="0.3">
      <c r="A31"/>
      <c r="C31"/>
      <c r="E31"/>
      <c r="F31"/>
    </row>
    <row r="32" spans="1:11" x14ac:dyDescent="0.3">
      <c r="A32"/>
      <c r="C32"/>
      <c r="E32"/>
      <c r="F32"/>
    </row>
    <row r="33" customFormat="1" ht="15" customHeigh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ht="15" customHeight="1" x14ac:dyDescent="0.3"/>
    <row r="62" customFormat="1" x14ac:dyDescent="0.3"/>
    <row r="63" customFormat="1" x14ac:dyDescent="0.3"/>
    <row r="64" customFormat="1" x14ac:dyDescent="0.3"/>
    <row r="65" customFormat="1" ht="15" customHeight="1" x14ac:dyDescent="0.3"/>
    <row r="66" customFormat="1" x14ac:dyDescent="0.3"/>
    <row r="67" customFormat="1" x14ac:dyDescent="0.3"/>
    <row r="68" customFormat="1" ht="15" customHeigh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ht="15" customHeight="1" x14ac:dyDescent="0.3"/>
    <row r="104" customFormat="1" x14ac:dyDescent="0.3"/>
    <row r="105" customFormat="1" x14ac:dyDescent="0.3"/>
    <row r="106" customFormat="1" ht="15" customHeigh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ht="15" customHeigh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spans="1:6" customForma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x14ac:dyDescent="0.3"/>
    <row r="134" spans="1:6" customFormat="1" ht="15" customHeight="1" x14ac:dyDescent="0.3"/>
    <row r="135" spans="1:6" customFormat="1" x14ac:dyDescent="0.3"/>
    <row r="136" spans="1:6" customFormat="1" x14ac:dyDescent="0.3"/>
    <row r="137" spans="1:6" customFormat="1" x14ac:dyDescent="0.3"/>
    <row r="138" spans="1:6" customFormat="1" x14ac:dyDescent="0.3"/>
    <row r="139" spans="1:6" customFormat="1" x14ac:dyDescent="0.3"/>
    <row r="140" spans="1:6" customFormat="1" x14ac:dyDescent="0.3"/>
    <row r="141" spans="1:6" x14ac:dyDescent="0.3">
      <c r="A141"/>
      <c r="C141" s="3"/>
      <c r="E141" s="1"/>
      <c r="F141"/>
    </row>
    <row r="142" spans="1:6" x14ac:dyDescent="0.3">
      <c r="A142"/>
      <c r="C142" s="3"/>
      <c r="E142" s="1"/>
      <c r="F142"/>
    </row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ht="15" customHeight="1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ht="15" customHeight="1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</sheetData>
  <mergeCells count="12">
    <mergeCell ref="I4:I8"/>
    <mergeCell ref="J4:J8"/>
    <mergeCell ref="K4:K8"/>
    <mergeCell ref="A10:A19"/>
    <mergeCell ref="D11:D12"/>
    <mergeCell ref="D13:D17"/>
    <mergeCell ref="A4:A8"/>
    <mergeCell ref="B4:B8"/>
    <mergeCell ref="F4:F8"/>
    <mergeCell ref="G4:G8"/>
    <mergeCell ref="H4:H8"/>
    <mergeCell ref="C4:C8"/>
  </mergeCells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 codeName="Feuil13"/>
  <dimension ref="A1:P269"/>
  <sheetViews>
    <sheetView topLeftCell="C1" zoomScale="85" zoomScaleNormal="85" workbookViewId="0">
      <selection activeCell="E3" sqref="E3:I10"/>
    </sheetView>
  </sheetViews>
  <sheetFormatPr baseColWidth="10" defaultColWidth="11.44140625" defaultRowHeight="14.4" x14ac:dyDescent="0.3"/>
  <cols>
    <col min="1" max="1" width="39.109375" style="29" bestFit="1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26" style="1" bestFit="1" customWidth="1"/>
    <col min="7" max="7" width="21.6640625" bestFit="1" customWidth="1"/>
    <col min="8" max="8" width="16.88671875" bestFit="1" customWidth="1"/>
    <col min="9" max="9" width="12" bestFit="1" customWidth="1"/>
    <col min="10" max="10" width="37.6640625" bestFit="1" customWidth="1"/>
    <col min="11" max="11" width="34.44140625" style="1" bestFit="1" customWidth="1"/>
    <col min="12" max="12" width="36" bestFit="1" customWidth="1"/>
    <col min="13" max="13" width="20.109375" bestFit="1" customWidth="1"/>
    <col min="14" max="14" width="31.44140625" bestFit="1" customWidth="1"/>
    <col min="15" max="15" width="45.109375" bestFit="1" customWidth="1"/>
    <col min="16" max="16" width="16" customWidth="1"/>
  </cols>
  <sheetData>
    <row r="1" spans="1:16" ht="15" thickBot="1" x14ac:dyDescent="0.35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720" t="s">
        <v>529</v>
      </c>
      <c r="G1" s="1143" t="s">
        <v>530</v>
      </c>
      <c r="H1" s="1091"/>
      <c r="I1" s="1091"/>
      <c r="J1" s="1144"/>
      <c r="K1" s="30" t="s">
        <v>237</v>
      </c>
      <c r="L1" s="30" t="s">
        <v>11</v>
      </c>
      <c r="M1" s="30" t="s">
        <v>12</v>
      </c>
      <c r="N1" s="30" t="s">
        <v>13</v>
      </c>
      <c r="O1" s="30" t="s">
        <v>16</v>
      </c>
      <c r="P1" s="30" t="s">
        <v>17</v>
      </c>
    </row>
    <row r="2" spans="1:16" ht="15" thickBot="1" x14ac:dyDescent="0.35">
      <c r="A2" s="31"/>
      <c r="B2" s="113" t="s">
        <v>98</v>
      </c>
      <c r="C2" s="49"/>
      <c r="D2" s="34"/>
      <c r="E2" s="33"/>
      <c r="F2" s="720" t="s">
        <v>402</v>
      </c>
      <c r="G2" s="747" t="s">
        <v>530</v>
      </c>
      <c r="H2" s="636" t="s">
        <v>404</v>
      </c>
      <c r="I2" s="747" t="s">
        <v>406</v>
      </c>
      <c r="J2" s="742" t="s">
        <v>407</v>
      </c>
      <c r="K2" s="35"/>
      <c r="L2" s="34"/>
      <c r="M2" s="34"/>
      <c r="N2" s="34"/>
      <c r="O2" s="34"/>
      <c r="P2" s="34"/>
    </row>
    <row r="3" spans="1:16" ht="15.75" customHeight="1" thickBot="1" x14ac:dyDescent="0.35">
      <c r="A3" s="1071" t="s">
        <v>97</v>
      </c>
      <c r="B3" s="1025" t="s">
        <v>98</v>
      </c>
      <c r="C3" s="1034" t="s">
        <v>46</v>
      </c>
      <c r="D3" s="125" t="s">
        <v>234</v>
      </c>
      <c r="E3" s="125">
        <f>SUM(E4:E10)</f>
        <v>13.217306899999997</v>
      </c>
      <c r="F3" s="702">
        <f>SUM(F4)</f>
        <v>78.092999999999989</v>
      </c>
      <c r="G3" s="702"/>
      <c r="H3" s="702">
        <f>SUM(H4)</f>
        <v>90.096999999999994</v>
      </c>
      <c r="I3" s="702">
        <f>SUM(I4)</f>
        <v>1.0840000000000001</v>
      </c>
      <c r="J3" s="706"/>
      <c r="K3" s="1043" t="s">
        <v>473</v>
      </c>
      <c r="L3" s="1087" t="s">
        <v>414</v>
      </c>
      <c r="M3" s="1007" t="s">
        <v>99</v>
      </c>
      <c r="N3" s="1157" t="s">
        <v>100</v>
      </c>
      <c r="O3" s="1016">
        <v>515</v>
      </c>
      <c r="P3" s="1136" t="s">
        <v>30</v>
      </c>
    </row>
    <row r="4" spans="1:16" ht="15.75" customHeight="1" x14ac:dyDescent="0.3">
      <c r="A4" s="1113"/>
      <c r="B4" s="1026"/>
      <c r="C4" s="1035"/>
      <c r="D4" s="282" t="s">
        <v>47</v>
      </c>
      <c r="E4" s="282">
        <f>SUM(E14:E16)</f>
        <v>12.332999999999998</v>
      </c>
      <c r="F4" s="162">
        <f>SUM(F14)</f>
        <v>78.092999999999989</v>
      </c>
      <c r="G4" s="162"/>
      <c r="H4" s="162">
        <f>SUM(H14)</f>
        <v>90.096999999999994</v>
      </c>
      <c r="I4" s="162">
        <f>SUM(I14)</f>
        <v>1.0840000000000001</v>
      </c>
      <c r="J4" s="165" t="s">
        <v>51</v>
      </c>
      <c r="K4" s="985"/>
      <c r="L4" s="1128"/>
      <c r="M4" s="1008"/>
      <c r="N4" s="1158"/>
      <c r="O4" s="1162"/>
      <c r="P4" s="1163"/>
    </row>
    <row r="5" spans="1:16" x14ac:dyDescent="0.3">
      <c r="A5" s="1113"/>
      <c r="B5" s="1026"/>
      <c r="C5" s="1035"/>
      <c r="D5" s="296" t="s">
        <v>60</v>
      </c>
      <c r="E5" s="433">
        <f>SUM(E17:E19)</f>
        <v>0.2145707</v>
      </c>
      <c r="F5" s="694"/>
      <c r="G5" s="662"/>
      <c r="H5" s="662"/>
      <c r="I5" s="662"/>
      <c r="J5" s="8"/>
      <c r="K5" s="985"/>
      <c r="L5" s="1128"/>
      <c r="M5" s="1008"/>
      <c r="N5" s="1159"/>
      <c r="O5" s="1017"/>
      <c r="P5" s="1137"/>
    </row>
    <row r="6" spans="1:16" x14ac:dyDescent="0.3">
      <c r="A6" s="1113"/>
      <c r="B6" s="1026"/>
      <c r="C6" s="1035"/>
      <c r="D6" s="168" t="s">
        <v>244</v>
      </c>
      <c r="E6" s="168">
        <f>SUM(E20:E24)</f>
        <v>2.3743000000000004E-2</v>
      </c>
      <c r="F6" s="694"/>
      <c r="G6" s="662"/>
      <c r="H6" s="662"/>
      <c r="I6" s="662"/>
      <c r="J6" s="8"/>
      <c r="K6" s="985"/>
      <c r="L6" s="1128"/>
      <c r="M6" s="1008"/>
      <c r="N6" s="1159"/>
      <c r="O6" s="1017"/>
      <c r="P6" s="1137"/>
    </row>
    <row r="7" spans="1:16" x14ac:dyDescent="0.3">
      <c r="A7" s="1113"/>
      <c r="B7" s="1026"/>
      <c r="C7" s="1035"/>
      <c r="D7" s="319" t="s">
        <v>253</v>
      </c>
      <c r="E7" s="418">
        <f>SUM(E25:E30)</f>
        <v>0.58000000000000007</v>
      </c>
      <c r="F7" s="694"/>
      <c r="G7" s="662"/>
      <c r="H7" s="662"/>
      <c r="I7" s="662"/>
      <c r="J7" s="8"/>
      <c r="K7" s="985"/>
      <c r="L7" s="1128"/>
      <c r="M7" s="1008"/>
      <c r="N7" s="1160"/>
      <c r="O7" s="1145"/>
      <c r="P7" s="1142"/>
    </row>
    <row r="8" spans="1:16" x14ac:dyDescent="0.3">
      <c r="A8" s="1113"/>
      <c r="B8" s="1026"/>
      <c r="C8" s="1035"/>
      <c r="D8" s="186" t="s">
        <v>265</v>
      </c>
      <c r="E8" s="187">
        <f>SUM(E31)</f>
        <v>5.7000000000000002E-2</v>
      </c>
      <c r="F8" s="694"/>
      <c r="G8" s="662"/>
      <c r="H8" s="662"/>
      <c r="I8" s="662"/>
      <c r="J8" s="8"/>
      <c r="K8" s="985"/>
      <c r="L8" s="1128"/>
      <c r="M8" s="1008"/>
      <c r="N8" s="1160"/>
      <c r="O8" s="1145"/>
      <c r="P8" s="1142"/>
    </row>
    <row r="9" spans="1:16" x14ac:dyDescent="0.3">
      <c r="A9" s="1113"/>
      <c r="B9" s="1026"/>
      <c r="C9" s="1035"/>
      <c r="D9" s="426" t="s">
        <v>271</v>
      </c>
      <c r="E9" s="427">
        <f>SUM(E32:E33)</f>
        <v>4.9931999999999997E-3</v>
      </c>
      <c r="F9" s="694"/>
      <c r="G9" s="662"/>
      <c r="H9" s="662"/>
      <c r="I9" s="662"/>
      <c r="J9" s="8"/>
      <c r="K9" s="985"/>
      <c r="L9" s="1128"/>
      <c r="M9" s="1008"/>
      <c r="N9" s="1160"/>
      <c r="O9" s="1145"/>
      <c r="P9" s="1142"/>
    </row>
    <row r="10" spans="1:16" x14ac:dyDescent="0.3">
      <c r="A10" s="1113"/>
      <c r="B10" s="1026"/>
      <c r="C10" s="1035"/>
      <c r="D10" s="329" t="s">
        <v>240</v>
      </c>
      <c r="E10" s="329">
        <f>SUM(E34)</f>
        <v>4.0000000000000001E-3</v>
      </c>
      <c r="F10" s="694"/>
      <c r="G10" s="662"/>
      <c r="H10" s="662"/>
      <c r="I10" s="662"/>
      <c r="J10" s="8"/>
      <c r="K10" s="985"/>
      <c r="L10" s="1128"/>
      <c r="M10" s="1008"/>
      <c r="N10" s="1160"/>
      <c r="O10" s="1145"/>
      <c r="P10" s="1142"/>
    </row>
    <row r="11" spans="1:16" ht="15" thickBot="1" x14ac:dyDescent="0.35">
      <c r="A11" s="1072"/>
      <c r="B11" s="1027"/>
      <c r="C11" s="1036"/>
      <c r="D11" s="80"/>
      <c r="E11" s="53"/>
      <c r="F11" s="695"/>
      <c r="G11" s="91"/>
      <c r="H11" s="91"/>
      <c r="I11" s="91"/>
      <c r="J11" s="10"/>
      <c r="K11" s="1044"/>
      <c r="L11" s="1088"/>
      <c r="M11" s="1009"/>
      <c r="N11" s="1161"/>
      <c r="O11" s="1018"/>
      <c r="P11" s="1138"/>
    </row>
    <row r="12" spans="1:16" ht="15" thickBot="1" x14ac:dyDescent="0.35">
      <c r="A12"/>
      <c r="C12" s="3"/>
      <c r="E12" s="1"/>
      <c r="K12"/>
    </row>
    <row r="13" spans="1:16" ht="15" thickBot="1" x14ac:dyDescent="0.35">
      <c r="A13" s="1101" t="s">
        <v>97</v>
      </c>
      <c r="B13" s="83" t="s">
        <v>98</v>
      </c>
      <c r="C13" s="44"/>
      <c r="D13" s="90" t="s">
        <v>532</v>
      </c>
      <c r="E13" s="92">
        <f>SUM(E14:E34)</f>
        <v>13.217306899999999</v>
      </c>
      <c r="F13" s="735" t="s">
        <v>402</v>
      </c>
      <c r="G13" s="735" t="s">
        <v>530</v>
      </c>
      <c r="H13" s="735" t="s">
        <v>404</v>
      </c>
      <c r="I13" s="735" t="s">
        <v>406</v>
      </c>
      <c r="J13" s="735" t="s">
        <v>407</v>
      </c>
      <c r="K13" s="5"/>
      <c r="L13" s="38"/>
      <c r="M13" s="5"/>
      <c r="N13" s="5"/>
      <c r="O13" s="5"/>
      <c r="P13" s="6"/>
    </row>
    <row r="14" spans="1:16" ht="15" thickBot="1" x14ac:dyDescent="0.35">
      <c r="A14" s="1102"/>
      <c r="B14" s="126" t="s">
        <v>849</v>
      </c>
      <c r="C14" s="69"/>
      <c r="D14" s="1093" t="s">
        <v>47</v>
      </c>
      <c r="E14" s="166">
        <v>12.004</v>
      </c>
      <c r="F14" s="727">
        <f>SUM(H14-E14)</f>
        <v>78.092999999999989</v>
      </c>
      <c r="G14" s="727" t="s">
        <v>850</v>
      </c>
      <c r="H14" s="727">
        <v>90.096999999999994</v>
      </c>
      <c r="I14" s="727">
        <v>1.0840000000000001</v>
      </c>
      <c r="J14" s="727" t="s">
        <v>51</v>
      </c>
      <c r="K14" s="3"/>
      <c r="L14" s="3"/>
      <c r="P14" s="8"/>
    </row>
    <row r="15" spans="1:16" x14ac:dyDescent="0.3">
      <c r="A15" s="1102"/>
      <c r="B15" s="126" t="s">
        <v>851</v>
      </c>
      <c r="C15" s="69"/>
      <c r="D15" s="1093"/>
      <c r="E15" s="166">
        <v>0.155</v>
      </c>
      <c r="K15" s="3"/>
      <c r="L15" s="3"/>
      <c r="P15" s="8"/>
    </row>
    <row r="16" spans="1:16" x14ac:dyDescent="0.3">
      <c r="A16" s="1102"/>
      <c r="B16" s="126" t="s">
        <v>852</v>
      </c>
      <c r="C16" s="69"/>
      <c r="D16" s="1093"/>
      <c r="E16" s="166">
        <v>0.17399999999999999</v>
      </c>
      <c r="F16"/>
      <c r="K16" s="3"/>
      <c r="L16" s="3"/>
      <c r="P16" s="8"/>
    </row>
    <row r="17" spans="1:16" x14ac:dyDescent="0.3">
      <c r="A17" s="1102"/>
      <c r="B17" s="432" t="s">
        <v>853</v>
      </c>
      <c r="C17" s="69"/>
      <c r="D17" s="1155" t="s">
        <v>60</v>
      </c>
      <c r="E17" s="430">
        <v>0.20899999999999999</v>
      </c>
      <c r="F17"/>
      <c r="K17" s="3"/>
      <c r="L17" s="3"/>
      <c r="P17" s="8"/>
    </row>
    <row r="18" spans="1:16" x14ac:dyDescent="0.3">
      <c r="A18" s="1102"/>
      <c r="B18" s="432" t="s">
        <v>854</v>
      </c>
      <c r="C18" s="69"/>
      <c r="D18" s="1155"/>
      <c r="E18" s="431">
        <v>5.7070000000000005E-4</v>
      </c>
      <c r="F18"/>
      <c r="K18" s="3"/>
      <c r="L18" s="3"/>
      <c r="P18" s="8"/>
    </row>
    <row r="19" spans="1:16" x14ac:dyDescent="0.3">
      <c r="A19" s="1102"/>
      <c r="B19" s="432" t="s">
        <v>855</v>
      </c>
      <c r="C19" s="69"/>
      <c r="D19" s="1155"/>
      <c r="E19" s="430">
        <v>5.0000000000000001E-3</v>
      </c>
      <c r="F19"/>
      <c r="K19" s="3"/>
      <c r="L19" s="3"/>
      <c r="P19" s="8"/>
    </row>
    <row r="20" spans="1:16" x14ac:dyDescent="0.3">
      <c r="A20" s="1102"/>
      <c r="B20" s="171" t="s">
        <v>856</v>
      </c>
      <c r="C20" s="69"/>
      <c r="D20" s="1098" t="s">
        <v>244</v>
      </c>
      <c r="E20" s="170">
        <v>1.7000000000000001E-2</v>
      </c>
      <c r="F20"/>
      <c r="K20" s="3"/>
      <c r="L20" s="3"/>
      <c r="P20" s="8"/>
    </row>
    <row r="21" spans="1:16" x14ac:dyDescent="0.3">
      <c r="A21" s="1102"/>
      <c r="B21" s="171" t="s">
        <v>857</v>
      </c>
      <c r="C21" s="69"/>
      <c r="D21" s="1098"/>
      <c r="E21" s="170">
        <v>2E-3</v>
      </c>
      <c r="F21"/>
      <c r="K21" s="3"/>
      <c r="L21" s="3"/>
      <c r="P21" s="8"/>
    </row>
    <row r="22" spans="1:16" x14ac:dyDescent="0.3">
      <c r="A22" s="1102"/>
      <c r="B22" s="171" t="s">
        <v>858</v>
      </c>
      <c r="C22" s="69"/>
      <c r="D22" s="1098"/>
      <c r="E22" s="170">
        <v>4.0000000000000001E-3</v>
      </c>
      <c r="F22"/>
      <c r="K22" s="3"/>
      <c r="L22" s="3"/>
      <c r="P22" s="8"/>
    </row>
    <row r="23" spans="1:16" x14ac:dyDescent="0.3">
      <c r="A23" s="1102"/>
      <c r="B23" s="171" t="s">
        <v>859</v>
      </c>
      <c r="C23" s="69"/>
      <c r="D23" s="1098"/>
      <c r="E23" s="417">
        <v>4.8299999999999998E-4</v>
      </c>
      <c r="F23"/>
      <c r="K23" s="3"/>
      <c r="L23" s="3"/>
      <c r="P23" s="8"/>
    </row>
    <row r="24" spans="1:16" x14ac:dyDescent="0.3">
      <c r="A24" s="1102"/>
      <c r="B24" s="171" t="s">
        <v>860</v>
      </c>
      <c r="C24" s="69"/>
      <c r="D24" s="1098"/>
      <c r="E24" s="417">
        <v>2.5999999999999998E-4</v>
      </c>
      <c r="F24"/>
      <c r="K24" s="3"/>
      <c r="L24" s="3"/>
      <c r="P24" s="8"/>
    </row>
    <row r="25" spans="1:16" x14ac:dyDescent="0.3">
      <c r="A25" s="1102"/>
      <c r="B25" s="193" t="s">
        <v>861</v>
      </c>
      <c r="C25" s="3"/>
      <c r="D25" s="1096" t="s">
        <v>253</v>
      </c>
      <c r="E25" s="173">
        <v>9.4E-2</v>
      </c>
      <c r="F25"/>
      <c r="K25" s="3"/>
      <c r="P25" s="8"/>
    </row>
    <row r="26" spans="1:16" x14ac:dyDescent="0.3">
      <c r="A26" s="1102"/>
      <c r="B26" s="193" t="s">
        <v>862</v>
      </c>
      <c r="C26" s="3"/>
      <c r="D26" s="1096"/>
      <c r="E26" s="415">
        <v>8.9999999999999993E-3</v>
      </c>
      <c r="F26"/>
      <c r="K26" s="3"/>
      <c r="P26" s="8"/>
    </row>
    <row r="27" spans="1:16" x14ac:dyDescent="0.3">
      <c r="A27" s="1102"/>
      <c r="B27" s="193" t="s">
        <v>863</v>
      </c>
      <c r="C27" s="3"/>
      <c r="D27" s="1096"/>
      <c r="E27" s="173">
        <v>1.7999999999999999E-2</v>
      </c>
      <c r="F27"/>
      <c r="K27" s="3"/>
      <c r="P27" s="8"/>
    </row>
    <row r="28" spans="1:16" x14ac:dyDescent="0.3">
      <c r="A28" s="1102"/>
      <c r="B28" s="193" t="s">
        <v>864</v>
      </c>
      <c r="C28" s="3"/>
      <c r="D28" s="1096"/>
      <c r="E28" s="415">
        <v>0.123</v>
      </c>
      <c r="F28"/>
      <c r="K28" s="3"/>
      <c r="P28" s="8"/>
    </row>
    <row r="29" spans="1:16" x14ac:dyDescent="0.3">
      <c r="A29" s="1102"/>
      <c r="B29" s="193" t="s">
        <v>865</v>
      </c>
      <c r="C29" s="3"/>
      <c r="D29" s="1096"/>
      <c r="E29" s="173">
        <v>0.14499999999999999</v>
      </c>
      <c r="F29"/>
      <c r="K29" s="3"/>
      <c r="P29" s="8"/>
    </row>
    <row r="30" spans="1:16" x14ac:dyDescent="0.3">
      <c r="A30" s="1102"/>
      <c r="B30" s="193" t="s">
        <v>866</v>
      </c>
      <c r="C30" s="3"/>
      <c r="D30" s="1096"/>
      <c r="E30" s="173">
        <v>0.191</v>
      </c>
      <c r="F30"/>
      <c r="K30" s="3"/>
      <c r="P30" s="8"/>
    </row>
    <row r="31" spans="1:16" x14ac:dyDescent="0.3">
      <c r="A31" s="1102"/>
      <c r="B31" s="184" t="s">
        <v>867</v>
      </c>
      <c r="C31" s="3"/>
      <c r="D31" s="180" t="s">
        <v>265</v>
      </c>
      <c r="E31" s="185">
        <v>5.7000000000000002E-2</v>
      </c>
      <c r="F31"/>
      <c r="K31" s="3"/>
      <c r="P31" s="8"/>
    </row>
    <row r="32" spans="1:16" x14ac:dyDescent="0.3">
      <c r="A32" s="1102"/>
      <c r="B32" s="429" t="s">
        <v>868</v>
      </c>
      <c r="C32" s="3"/>
      <c r="D32" s="1156" t="s">
        <v>271</v>
      </c>
      <c r="E32" s="410">
        <v>4.0000000000000001E-3</v>
      </c>
      <c r="F32"/>
      <c r="K32" s="3"/>
      <c r="P32" s="8"/>
    </row>
    <row r="33" spans="1:16" x14ac:dyDescent="0.3">
      <c r="A33" s="1102"/>
      <c r="B33" s="429" t="s">
        <v>869</v>
      </c>
      <c r="C33" s="3"/>
      <c r="D33" s="1156"/>
      <c r="E33" s="428">
        <v>9.9320000000000007E-4</v>
      </c>
      <c r="F33"/>
      <c r="K33" s="3"/>
      <c r="P33" s="8"/>
    </row>
    <row r="34" spans="1:16" x14ac:dyDescent="0.3">
      <c r="A34" s="1102"/>
      <c r="B34" s="164" t="s">
        <v>870</v>
      </c>
      <c r="C34" s="3"/>
      <c r="D34" s="65" t="s">
        <v>240</v>
      </c>
      <c r="E34" s="65">
        <v>4.0000000000000001E-3</v>
      </c>
      <c r="F34"/>
      <c r="K34" s="3"/>
      <c r="P34" s="8"/>
    </row>
    <row r="35" spans="1:16" ht="15" thickBot="1" x14ac:dyDescent="0.35">
      <c r="A35" s="1103"/>
      <c r="B35" s="89"/>
      <c r="C35" s="9"/>
      <c r="D35" s="91"/>
      <c r="E35" s="91"/>
      <c r="F35" s="9"/>
      <c r="G35" s="9"/>
      <c r="H35" s="9"/>
      <c r="I35" s="9"/>
      <c r="J35" s="9"/>
      <c r="K35" s="9"/>
      <c r="L35" s="9"/>
      <c r="M35" s="9"/>
      <c r="N35" s="9"/>
      <c r="O35" s="9"/>
      <c r="P35" s="10"/>
    </row>
    <row r="36" spans="1:16" x14ac:dyDescent="0.3">
      <c r="A36"/>
      <c r="C36"/>
      <c r="E36"/>
      <c r="F36"/>
      <c r="K36"/>
    </row>
    <row r="37" spans="1:16" x14ac:dyDescent="0.3">
      <c r="A37"/>
      <c r="C37"/>
      <c r="E37"/>
      <c r="F37"/>
      <c r="K37"/>
    </row>
    <row r="38" spans="1:16" x14ac:dyDescent="0.3">
      <c r="A38"/>
      <c r="C38"/>
      <c r="E38"/>
      <c r="F38"/>
      <c r="K38"/>
    </row>
    <row r="39" spans="1:16" x14ac:dyDescent="0.3">
      <c r="A39"/>
      <c r="C39"/>
      <c r="E39"/>
      <c r="F39"/>
      <c r="K39"/>
    </row>
    <row r="40" spans="1:16" x14ac:dyDescent="0.3">
      <c r="A40"/>
      <c r="C40"/>
      <c r="E40"/>
      <c r="F40"/>
      <c r="K40"/>
    </row>
    <row r="41" spans="1:16" x14ac:dyDescent="0.3">
      <c r="A41"/>
      <c r="C41"/>
      <c r="E41"/>
      <c r="F41"/>
      <c r="K41"/>
    </row>
    <row r="42" spans="1:16" x14ac:dyDescent="0.3">
      <c r="A42"/>
      <c r="C42"/>
      <c r="E42"/>
      <c r="F42"/>
      <c r="K42"/>
    </row>
    <row r="43" spans="1:16" x14ac:dyDescent="0.3">
      <c r="A43"/>
      <c r="C43"/>
      <c r="E43"/>
      <c r="F43"/>
      <c r="K43"/>
    </row>
    <row r="44" spans="1:16" x14ac:dyDescent="0.3">
      <c r="A44"/>
      <c r="C44"/>
      <c r="E44"/>
      <c r="F44"/>
      <c r="K44"/>
    </row>
    <row r="45" spans="1:16" x14ac:dyDescent="0.3">
      <c r="A45"/>
      <c r="C45"/>
      <c r="E45"/>
      <c r="F45"/>
      <c r="K45"/>
    </row>
    <row r="46" spans="1:16" x14ac:dyDescent="0.3">
      <c r="A46"/>
      <c r="C46"/>
      <c r="E46"/>
      <c r="F46"/>
      <c r="K46"/>
    </row>
    <row r="47" spans="1:16" x14ac:dyDescent="0.3">
      <c r="A47"/>
      <c r="C47"/>
      <c r="E47"/>
      <c r="K47"/>
    </row>
    <row r="48" spans="1:16" x14ac:dyDescent="0.3">
      <c r="A48"/>
      <c r="C48"/>
      <c r="E48"/>
      <c r="F48"/>
      <c r="K48"/>
    </row>
    <row r="49" spans="6:6" customFormat="1" ht="15" customHeight="1" x14ac:dyDescent="0.3"/>
    <row r="50" spans="6:6" customFormat="1" x14ac:dyDescent="0.3"/>
    <row r="51" spans="6:6" customFormat="1" x14ac:dyDescent="0.3"/>
    <row r="52" spans="6:6" customFormat="1" x14ac:dyDescent="0.3"/>
    <row r="53" spans="6:6" customFormat="1" x14ac:dyDescent="0.3"/>
    <row r="54" spans="6:6" customFormat="1" x14ac:dyDescent="0.3"/>
    <row r="55" spans="6:6" customFormat="1" x14ac:dyDescent="0.3"/>
    <row r="56" spans="6:6" customFormat="1" x14ac:dyDescent="0.3"/>
    <row r="57" spans="6:6" customFormat="1" x14ac:dyDescent="0.3"/>
    <row r="58" spans="6:6" customFormat="1" x14ac:dyDescent="0.3"/>
    <row r="59" spans="6:6" customFormat="1" x14ac:dyDescent="0.3"/>
    <row r="60" spans="6:6" customFormat="1" x14ac:dyDescent="0.3">
      <c r="F60" s="1"/>
    </row>
    <row r="61" spans="6:6" customFormat="1" x14ac:dyDescent="0.3"/>
    <row r="62" spans="6:6" customFormat="1" x14ac:dyDescent="0.3"/>
    <row r="63" spans="6:6" customFormat="1" x14ac:dyDescent="0.3"/>
    <row r="64" spans="6:6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ht="15" customHeight="1" x14ac:dyDescent="0.3"/>
    <row r="78" customFormat="1" x14ac:dyDescent="0.3"/>
    <row r="79" customFormat="1" x14ac:dyDescent="0.3"/>
    <row r="80" customFormat="1" x14ac:dyDescent="0.3"/>
    <row r="81" customFormat="1" ht="15" customHeight="1" x14ac:dyDescent="0.3"/>
    <row r="82" customFormat="1" x14ac:dyDescent="0.3"/>
    <row r="83" customFormat="1" x14ac:dyDescent="0.3"/>
    <row r="84" customFormat="1" ht="15" customHeigh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ht="15" customHeight="1" x14ac:dyDescent="0.3"/>
    <row r="120" customFormat="1" x14ac:dyDescent="0.3"/>
    <row r="121" customFormat="1" x14ac:dyDescent="0.3"/>
    <row r="122" customFormat="1" ht="15" customHeigh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ht="15" customHeigh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spans="1:11" customFormat="1" x14ac:dyDescent="0.3"/>
    <row r="146" spans="1:11" customFormat="1" x14ac:dyDescent="0.3"/>
    <row r="147" spans="1:11" customFormat="1" x14ac:dyDescent="0.3"/>
    <row r="148" spans="1:11" customFormat="1" x14ac:dyDescent="0.3"/>
    <row r="149" spans="1:11" customFormat="1" x14ac:dyDescent="0.3"/>
    <row r="150" spans="1:11" customFormat="1" ht="15" customHeight="1" x14ac:dyDescent="0.3"/>
    <row r="151" spans="1:11" customFormat="1" x14ac:dyDescent="0.3"/>
    <row r="152" spans="1:11" customFormat="1" x14ac:dyDescent="0.3"/>
    <row r="153" spans="1:11" customFormat="1" x14ac:dyDescent="0.3"/>
    <row r="154" spans="1:11" customFormat="1" x14ac:dyDescent="0.3"/>
    <row r="155" spans="1:11" customFormat="1" x14ac:dyDescent="0.3"/>
    <row r="156" spans="1:11" customFormat="1" x14ac:dyDescent="0.3"/>
    <row r="157" spans="1:11" x14ac:dyDescent="0.3">
      <c r="A157"/>
      <c r="C157" s="3"/>
      <c r="E157" s="1"/>
      <c r="F157"/>
      <c r="K157"/>
    </row>
    <row r="158" spans="1:11" x14ac:dyDescent="0.3">
      <c r="A158"/>
      <c r="C158" s="3"/>
      <c r="E158" s="1"/>
      <c r="F158"/>
      <c r="K158"/>
    </row>
    <row r="159" spans="1:11" x14ac:dyDescent="0.3">
      <c r="A159"/>
      <c r="C159" s="3"/>
      <c r="E159" s="1"/>
      <c r="F159"/>
      <c r="K159"/>
    </row>
    <row r="160" spans="1:11" x14ac:dyDescent="0.3">
      <c r="A160"/>
      <c r="C160" s="3"/>
      <c r="E160" s="1"/>
      <c r="F160"/>
      <c r="K160"/>
    </row>
    <row r="161" spans="1:11" x14ac:dyDescent="0.3">
      <c r="A161"/>
      <c r="C161" s="3"/>
      <c r="E161" s="1"/>
      <c r="F161"/>
      <c r="K161"/>
    </row>
    <row r="162" spans="1:11" x14ac:dyDescent="0.3">
      <c r="A162"/>
      <c r="C162" s="3"/>
      <c r="E162" s="1"/>
      <c r="F162"/>
      <c r="K162"/>
    </row>
    <row r="163" spans="1:11" x14ac:dyDescent="0.3">
      <c r="A163"/>
      <c r="C163" s="3"/>
      <c r="E163" s="1"/>
      <c r="F163"/>
      <c r="K163"/>
    </row>
    <row r="164" spans="1:11" x14ac:dyDescent="0.3">
      <c r="A164"/>
      <c r="C164" s="3"/>
      <c r="E164" s="1"/>
      <c r="F164"/>
      <c r="K164"/>
    </row>
    <row r="165" spans="1:11" x14ac:dyDescent="0.3">
      <c r="A165"/>
      <c r="C165" s="3"/>
      <c r="E165" s="1"/>
      <c r="F165"/>
      <c r="K165"/>
    </row>
    <row r="166" spans="1:11" x14ac:dyDescent="0.3">
      <c r="A166"/>
      <c r="C166" s="3"/>
      <c r="E166" s="1"/>
      <c r="F166"/>
      <c r="K166"/>
    </row>
    <row r="167" spans="1:11" x14ac:dyDescent="0.3">
      <c r="A167"/>
      <c r="C167" s="3"/>
      <c r="E167" s="1"/>
      <c r="F167"/>
      <c r="K167"/>
    </row>
    <row r="168" spans="1:11" x14ac:dyDescent="0.3">
      <c r="A168"/>
      <c r="C168" s="3"/>
      <c r="E168" s="1"/>
      <c r="F168"/>
      <c r="K168"/>
    </row>
    <row r="169" spans="1:11" x14ac:dyDescent="0.3">
      <c r="A169"/>
      <c r="C169" s="3"/>
      <c r="E169" s="1"/>
      <c r="F169"/>
      <c r="K169"/>
    </row>
    <row r="170" spans="1:11" x14ac:dyDescent="0.3">
      <c r="A170"/>
      <c r="C170" s="3"/>
      <c r="E170" s="1"/>
      <c r="F170"/>
      <c r="K170"/>
    </row>
    <row r="171" spans="1:11" x14ac:dyDescent="0.3">
      <c r="A171"/>
      <c r="C171" s="3"/>
      <c r="E171" s="1"/>
      <c r="F171"/>
      <c r="K171"/>
    </row>
    <row r="172" spans="1:11" x14ac:dyDescent="0.3">
      <c r="A172"/>
      <c r="C172" s="3"/>
      <c r="E172" s="1"/>
      <c r="F172"/>
      <c r="K172"/>
    </row>
    <row r="173" spans="1:11" x14ac:dyDescent="0.3">
      <c r="A173"/>
      <c r="C173" s="3"/>
      <c r="E173" s="1"/>
      <c r="F173"/>
      <c r="K173"/>
    </row>
    <row r="174" spans="1:11" x14ac:dyDescent="0.3">
      <c r="A174"/>
      <c r="C174" s="3"/>
      <c r="E174" s="1"/>
      <c r="F174"/>
      <c r="K174"/>
    </row>
    <row r="175" spans="1:11" x14ac:dyDescent="0.3">
      <c r="A175"/>
      <c r="C175" s="3"/>
      <c r="E175" s="1"/>
      <c r="F175"/>
      <c r="K175"/>
    </row>
    <row r="176" spans="1:11" x14ac:dyDescent="0.3">
      <c r="A176"/>
      <c r="C176" s="3"/>
      <c r="E176" s="1"/>
      <c r="F176"/>
      <c r="K176"/>
    </row>
    <row r="177" spans="1:11" x14ac:dyDescent="0.3">
      <c r="A177"/>
      <c r="C177" s="3"/>
      <c r="E177" s="1"/>
      <c r="F177"/>
      <c r="K177"/>
    </row>
    <row r="178" spans="1:11" x14ac:dyDescent="0.3">
      <c r="A178"/>
      <c r="C178" s="3"/>
      <c r="E178" s="1"/>
      <c r="F178"/>
      <c r="K178"/>
    </row>
    <row r="179" spans="1:11" x14ac:dyDescent="0.3">
      <c r="A179"/>
      <c r="C179" s="3"/>
      <c r="E179" s="1"/>
      <c r="F179"/>
      <c r="K179"/>
    </row>
    <row r="180" spans="1:11" x14ac:dyDescent="0.3">
      <c r="A180"/>
      <c r="C180" s="3"/>
      <c r="E180" s="1"/>
      <c r="F180"/>
      <c r="K180"/>
    </row>
    <row r="181" spans="1:11" x14ac:dyDescent="0.3">
      <c r="A181"/>
      <c r="C181" s="3"/>
      <c r="E181" s="1"/>
      <c r="F181"/>
      <c r="K181"/>
    </row>
    <row r="182" spans="1:11" x14ac:dyDescent="0.3">
      <c r="A182"/>
      <c r="C182" s="3"/>
      <c r="E182" s="1"/>
      <c r="F182"/>
      <c r="K182"/>
    </row>
    <row r="183" spans="1:11" x14ac:dyDescent="0.3">
      <c r="A183"/>
      <c r="C183" s="3"/>
      <c r="E183" s="1"/>
      <c r="F183"/>
      <c r="K183"/>
    </row>
    <row r="184" spans="1:11" x14ac:dyDescent="0.3">
      <c r="A184"/>
      <c r="C184" s="3"/>
      <c r="E184" s="1"/>
      <c r="F184"/>
      <c r="K184"/>
    </row>
    <row r="185" spans="1:11" x14ac:dyDescent="0.3">
      <c r="A185"/>
      <c r="C185" s="3"/>
      <c r="E185" s="1"/>
      <c r="F185"/>
      <c r="K185"/>
    </row>
    <row r="186" spans="1:11" x14ac:dyDescent="0.3">
      <c r="A186"/>
      <c r="C186" s="3"/>
      <c r="E186" s="1"/>
      <c r="F186"/>
      <c r="K186"/>
    </row>
    <row r="187" spans="1:11" x14ac:dyDescent="0.3">
      <c r="A187"/>
      <c r="C187" s="3"/>
      <c r="E187" s="1"/>
      <c r="F187"/>
      <c r="K187"/>
    </row>
    <row r="188" spans="1:11" x14ac:dyDescent="0.3">
      <c r="A188"/>
      <c r="C188" s="3"/>
      <c r="E188" s="1"/>
      <c r="F188"/>
      <c r="K188"/>
    </row>
    <row r="189" spans="1:11" x14ac:dyDescent="0.3">
      <c r="A189"/>
      <c r="C189" s="3"/>
      <c r="E189" s="1"/>
      <c r="F189"/>
      <c r="K189"/>
    </row>
    <row r="190" spans="1:11" x14ac:dyDescent="0.3">
      <c r="A190"/>
      <c r="C190" s="3"/>
      <c r="E190" s="1"/>
      <c r="F190"/>
      <c r="K190"/>
    </row>
    <row r="191" spans="1:11" x14ac:dyDescent="0.3">
      <c r="A191"/>
      <c r="C191" s="3"/>
      <c r="E191" s="1"/>
      <c r="F191"/>
      <c r="K191"/>
    </row>
    <row r="192" spans="1:11" x14ac:dyDescent="0.3">
      <c r="A192"/>
      <c r="C192" s="3"/>
      <c r="E192" s="1"/>
      <c r="F192"/>
      <c r="K192"/>
    </row>
    <row r="193" spans="1:11" x14ac:dyDescent="0.3">
      <c r="A193"/>
      <c r="C193" s="3"/>
      <c r="E193" s="1"/>
      <c r="F193"/>
      <c r="K193"/>
    </row>
    <row r="194" spans="1:11" x14ac:dyDescent="0.3">
      <c r="A194"/>
      <c r="C194" s="3"/>
      <c r="E194" s="1"/>
      <c r="F194"/>
      <c r="K194"/>
    </row>
    <row r="195" spans="1:11" x14ac:dyDescent="0.3">
      <c r="A195"/>
      <c r="C195" s="3"/>
      <c r="E195" s="1"/>
      <c r="F195"/>
      <c r="K195"/>
    </row>
    <row r="196" spans="1:11" x14ac:dyDescent="0.3">
      <c r="A196"/>
      <c r="C196" s="3"/>
      <c r="E196" s="1"/>
      <c r="F196"/>
      <c r="K196"/>
    </row>
    <row r="197" spans="1:11" x14ac:dyDescent="0.3">
      <c r="A197"/>
      <c r="C197" s="3"/>
      <c r="E197" s="1"/>
      <c r="F197"/>
      <c r="K197"/>
    </row>
    <row r="198" spans="1:11" x14ac:dyDescent="0.3">
      <c r="A198"/>
      <c r="C198" s="3"/>
      <c r="E198" s="1"/>
      <c r="F198"/>
      <c r="K198"/>
    </row>
    <row r="199" spans="1:11" x14ac:dyDescent="0.3">
      <c r="A199"/>
      <c r="C199" s="3"/>
      <c r="E199" s="1"/>
      <c r="F199"/>
      <c r="K199"/>
    </row>
    <row r="200" spans="1:11" x14ac:dyDescent="0.3">
      <c r="A200"/>
      <c r="C200" s="3"/>
      <c r="E200" s="1"/>
      <c r="F200"/>
      <c r="K200"/>
    </row>
    <row r="201" spans="1:11" x14ac:dyDescent="0.3">
      <c r="A201"/>
      <c r="C201" s="3"/>
      <c r="E201" s="1"/>
      <c r="F201"/>
      <c r="K201"/>
    </row>
    <row r="202" spans="1:11" x14ac:dyDescent="0.3">
      <c r="A202"/>
      <c r="C202" s="3"/>
      <c r="E202" s="1"/>
      <c r="F202"/>
      <c r="K202"/>
    </row>
    <row r="203" spans="1:11" x14ac:dyDescent="0.3">
      <c r="A203"/>
      <c r="C203" s="3"/>
      <c r="E203" s="1"/>
      <c r="F203"/>
      <c r="K203"/>
    </row>
    <row r="204" spans="1:11" x14ac:dyDescent="0.3">
      <c r="A204"/>
      <c r="C204" s="3"/>
      <c r="E204" s="1"/>
      <c r="F204"/>
      <c r="K204"/>
    </row>
    <row r="205" spans="1:11" x14ac:dyDescent="0.3">
      <c r="A205"/>
      <c r="C205" s="3"/>
      <c r="E205" s="1"/>
      <c r="F205"/>
      <c r="K205"/>
    </row>
    <row r="206" spans="1:11" x14ac:dyDescent="0.3">
      <c r="A206"/>
      <c r="C206" s="3"/>
      <c r="E206" s="1"/>
      <c r="F206"/>
      <c r="K206"/>
    </row>
    <row r="207" spans="1:11" x14ac:dyDescent="0.3">
      <c r="A207"/>
      <c r="C207" s="3"/>
      <c r="E207" s="1"/>
      <c r="F207"/>
      <c r="K207"/>
    </row>
    <row r="208" spans="1:11" x14ac:dyDescent="0.3">
      <c r="A208"/>
      <c r="C208" s="3"/>
      <c r="E208" s="1"/>
      <c r="F208"/>
      <c r="K208"/>
    </row>
    <row r="209" spans="1:11" x14ac:dyDescent="0.3">
      <c r="A209"/>
      <c r="C209" s="3"/>
      <c r="E209" s="1"/>
      <c r="F209"/>
      <c r="K209"/>
    </row>
    <row r="210" spans="1:11" x14ac:dyDescent="0.3">
      <c r="A210"/>
      <c r="C210" s="3"/>
      <c r="E210" s="1"/>
      <c r="F210"/>
      <c r="K210"/>
    </row>
    <row r="211" spans="1:11" x14ac:dyDescent="0.3">
      <c r="A211"/>
      <c r="C211" s="3"/>
      <c r="E211" s="1"/>
      <c r="F211"/>
      <c r="K211"/>
    </row>
    <row r="212" spans="1:11" x14ac:dyDescent="0.3">
      <c r="A212"/>
      <c r="C212" s="3"/>
      <c r="E212" s="1"/>
      <c r="F212"/>
      <c r="K212"/>
    </row>
    <row r="213" spans="1:11" x14ac:dyDescent="0.3">
      <c r="A213"/>
      <c r="C213" s="3"/>
      <c r="E213" s="1"/>
      <c r="F213"/>
      <c r="K213"/>
    </row>
    <row r="214" spans="1:11" ht="15" customHeight="1" x14ac:dyDescent="0.3">
      <c r="A214"/>
      <c r="C214" s="3"/>
      <c r="E214" s="1"/>
      <c r="F214"/>
      <c r="K214"/>
    </row>
    <row r="215" spans="1:11" x14ac:dyDescent="0.3">
      <c r="A215"/>
      <c r="C215" s="3"/>
      <c r="E215" s="1"/>
      <c r="F215"/>
      <c r="K215"/>
    </row>
    <row r="216" spans="1:11" x14ac:dyDescent="0.3">
      <c r="A216"/>
      <c r="C216" s="3"/>
      <c r="E216" s="1"/>
      <c r="F216"/>
      <c r="K216"/>
    </row>
    <row r="217" spans="1:11" x14ac:dyDescent="0.3">
      <c r="A217"/>
      <c r="C217" s="3"/>
      <c r="E217" s="1"/>
      <c r="F217"/>
      <c r="K217"/>
    </row>
    <row r="218" spans="1:11" x14ac:dyDescent="0.3">
      <c r="A218"/>
      <c r="C218" s="3"/>
      <c r="E218" s="1"/>
      <c r="F218"/>
      <c r="K218"/>
    </row>
    <row r="219" spans="1:11" x14ac:dyDescent="0.3">
      <c r="A219"/>
      <c r="C219" s="3"/>
      <c r="E219" s="1"/>
      <c r="F219"/>
      <c r="K219"/>
    </row>
    <row r="220" spans="1:11" x14ac:dyDescent="0.3">
      <c r="A220"/>
      <c r="C220" s="3"/>
      <c r="E220" s="1"/>
      <c r="F220"/>
      <c r="K220"/>
    </row>
    <row r="221" spans="1:11" x14ac:dyDescent="0.3">
      <c r="A221"/>
      <c r="C221" s="3"/>
      <c r="E221" s="1"/>
      <c r="F221"/>
      <c r="K221"/>
    </row>
    <row r="222" spans="1:11" x14ac:dyDescent="0.3">
      <c r="A222"/>
      <c r="C222" s="3"/>
      <c r="E222" s="1"/>
      <c r="F222"/>
      <c r="K222"/>
    </row>
    <row r="223" spans="1:11" x14ac:dyDescent="0.3">
      <c r="A223"/>
      <c r="C223" s="3"/>
      <c r="E223" s="1"/>
      <c r="F223"/>
      <c r="K223"/>
    </row>
    <row r="224" spans="1:11" x14ac:dyDescent="0.3">
      <c r="A224"/>
      <c r="C224" s="3"/>
      <c r="E224" s="1"/>
      <c r="F224"/>
      <c r="K224"/>
    </row>
    <row r="225" spans="1:11" x14ac:dyDescent="0.3">
      <c r="A225"/>
      <c r="C225" s="3"/>
      <c r="E225" s="1"/>
      <c r="F225"/>
      <c r="K225"/>
    </row>
    <row r="226" spans="1:11" x14ac:dyDescent="0.3">
      <c r="A226"/>
      <c r="C226" s="3"/>
      <c r="E226" s="1"/>
      <c r="F226"/>
      <c r="K226"/>
    </row>
    <row r="227" spans="1:11" x14ac:dyDescent="0.3">
      <c r="A227"/>
      <c r="C227" s="3"/>
      <c r="E227" s="1"/>
      <c r="F227"/>
      <c r="K227"/>
    </row>
    <row r="228" spans="1:11" x14ac:dyDescent="0.3">
      <c r="A228"/>
      <c r="C228" s="3"/>
      <c r="E228" s="1"/>
      <c r="F228"/>
      <c r="K228"/>
    </row>
    <row r="229" spans="1:11" x14ac:dyDescent="0.3">
      <c r="A229"/>
      <c r="C229" s="3"/>
      <c r="E229" s="1"/>
      <c r="F229"/>
      <c r="K229"/>
    </row>
    <row r="230" spans="1:11" ht="15" customHeight="1" x14ac:dyDescent="0.3">
      <c r="A230"/>
      <c r="C230" s="3"/>
      <c r="E230" s="1"/>
      <c r="F230"/>
      <c r="K230"/>
    </row>
    <row r="231" spans="1:11" x14ac:dyDescent="0.3">
      <c r="A231"/>
      <c r="C231" s="3"/>
      <c r="E231" s="1"/>
      <c r="F231"/>
      <c r="K231"/>
    </row>
    <row r="232" spans="1:11" x14ac:dyDescent="0.3">
      <c r="A232"/>
      <c r="C232" s="3"/>
      <c r="E232" s="1"/>
      <c r="F232"/>
      <c r="K232"/>
    </row>
    <row r="233" spans="1:11" x14ac:dyDescent="0.3">
      <c r="A233"/>
      <c r="C233" s="3"/>
      <c r="E233" s="1"/>
      <c r="F233"/>
      <c r="K233"/>
    </row>
    <row r="234" spans="1:11" x14ac:dyDescent="0.3">
      <c r="A234"/>
      <c r="C234" s="3"/>
      <c r="E234" s="1"/>
      <c r="F234"/>
      <c r="K234"/>
    </row>
    <row r="235" spans="1:11" x14ac:dyDescent="0.3">
      <c r="A235"/>
      <c r="C235" s="3"/>
      <c r="E235" s="1"/>
      <c r="F235"/>
      <c r="K235"/>
    </row>
    <row r="236" spans="1:11" x14ac:dyDescent="0.3">
      <c r="A236"/>
      <c r="C236" s="3"/>
      <c r="E236" s="1"/>
      <c r="F236"/>
      <c r="K236"/>
    </row>
    <row r="237" spans="1:11" x14ac:dyDescent="0.3">
      <c r="A237"/>
      <c r="C237" s="3"/>
      <c r="E237" s="1"/>
      <c r="F237"/>
      <c r="K237"/>
    </row>
    <row r="238" spans="1:11" x14ac:dyDescent="0.3">
      <c r="A238"/>
      <c r="C238" s="3"/>
      <c r="E238" s="1"/>
      <c r="F238"/>
      <c r="K238"/>
    </row>
    <row r="239" spans="1:11" x14ac:dyDescent="0.3">
      <c r="A239"/>
      <c r="C239" s="3"/>
      <c r="E239" s="1"/>
      <c r="F239"/>
      <c r="K239"/>
    </row>
    <row r="240" spans="1:11" x14ac:dyDescent="0.3">
      <c r="A240"/>
      <c r="C240" s="3"/>
      <c r="E240" s="1"/>
      <c r="F240"/>
      <c r="K240"/>
    </row>
    <row r="241" spans="1:11" x14ac:dyDescent="0.3">
      <c r="A241"/>
      <c r="C241" s="3"/>
      <c r="E241" s="1"/>
      <c r="F241"/>
      <c r="K241"/>
    </row>
    <row r="242" spans="1:11" x14ac:dyDescent="0.3">
      <c r="A242"/>
      <c r="C242" s="3"/>
      <c r="E242" s="1"/>
      <c r="F242"/>
      <c r="K242"/>
    </row>
    <row r="243" spans="1:11" x14ac:dyDescent="0.3">
      <c r="A243"/>
      <c r="C243" s="3"/>
      <c r="E243" s="1"/>
      <c r="F243"/>
      <c r="K243"/>
    </row>
    <row r="244" spans="1:11" x14ac:dyDescent="0.3">
      <c r="A244"/>
      <c r="C244" s="3"/>
      <c r="E244" s="1"/>
      <c r="F244"/>
      <c r="K244"/>
    </row>
    <row r="245" spans="1:11" x14ac:dyDescent="0.3">
      <c r="F245"/>
    </row>
    <row r="246" spans="1:11" x14ac:dyDescent="0.3">
      <c r="F246"/>
    </row>
    <row r="247" spans="1:11" x14ac:dyDescent="0.3">
      <c r="F247"/>
    </row>
    <row r="248" spans="1:11" x14ac:dyDescent="0.3">
      <c r="F248"/>
    </row>
    <row r="249" spans="1:11" x14ac:dyDescent="0.3">
      <c r="F249"/>
    </row>
    <row r="250" spans="1:11" x14ac:dyDescent="0.3">
      <c r="F250"/>
    </row>
    <row r="251" spans="1:11" x14ac:dyDescent="0.3">
      <c r="F251"/>
    </row>
    <row r="252" spans="1:11" x14ac:dyDescent="0.3">
      <c r="F252"/>
    </row>
    <row r="253" spans="1:11" x14ac:dyDescent="0.3">
      <c r="F253"/>
    </row>
    <row r="254" spans="1:11" x14ac:dyDescent="0.3">
      <c r="F254"/>
    </row>
    <row r="255" spans="1:11" x14ac:dyDescent="0.3">
      <c r="F255"/>
    </row>
    <row r="256" spans="1:11" x14ac:dyDescent="0.3">
      <c r="F256"/>
    </row>
    <row r="257" spans="6:6" x14ac:dyDescent="0.3">
      <c r="F257"/>
    </row>
    <row r="258" spans="6:6" x14ac:dyDescent="0.3">
      <c r="F258"/>
    </row>
    <row r="259" spans="6:6" x14ac:dyDescent="0.3">
      <c r="F259"/>
    </row>
    <row r="260" spans="6:6" x14ac:dyDescent="0.3">
      <c r="F260"/>
    </row>
    <row r="261" spans="6:6" x14ac:dyDescent="0.3">
      <c r="F261"/>
    </row>
    <row r="262" spans="6:6" x14ac:dyDescent="0.3">
      <c r="F262"/>
    </row>
    <row r="263" spans="6:6" x14ac:dyDescent="0.3">
      <c r="F263"/>
    </row>
    <row r="264" spans="6:6" x14ac:dyDescent="0.3">
      <c r="F264"/>
    </row>
    <row r="265" spans="6:6" x14ac:dyDescent="0.3">
      <c r="F265"/>
    </row>
    <row r="266" spans="6:6" x14ac:dyDescent="0.3">
      <c r="F266"/>
    </row>
    <row r="267" spans="6:6" x14ac:dyDescent="0.3">
      <c r="F267"/>
    </row>
    <row r="268" spans="6:6" x14ac:dyDescent="0.3">
      <c r="F268"/>
    </row>
    <row r="269" spans="6:6" x14ac:dyDescent="0.3">
      <c r="F269"/>
    </row>
  </sheetData>
  <mergeCells count="16">
    <mergeCell ref="N3:N11"/>
    <mergeCell ref="O3:O11"/>
    <mergeCell ref="G1:J1"/>
    <mergeCell ref="P3:P11"/>
    <mergeCell ref="M3:M11"/>
    <mergeCell ref="A13:A35"/>
    <mergeCell ref="A3:A11"/>
    <mergeCell ref="B3:B11"/>
    <mergeCell ref="K3:K11"/>
    <mergeCell ref="L3:L11"/>
    <mergeCell ref="D25:D30"/>
    <mergeCell ref="D14:D16"/>
    <mergeCell ref="D17:D19"/>
    <mergeCell ref="D20:D24"/>
    <mergeCell ref="D32:D33"/>
    <mergeCell ref="C3:C11"/>
  </mergeCells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 codeName="Feuil12"/>
  <dimension ref="A1:K256"/>
  <sheetViews>
    <sheetView topLeftCell="C1" zoomScale="70" zoomScaleNormal="70" workbookViewId="0">
      <selection activeCell="E4" sqref="E4:E9"/>
    </sheetView>
  </sheetViews>
  <sheetFormatPr baseColWidth="10" defaultColWidth="11.44140625" defaultRowHeight="14.4" x14ac:dyDescent="0.3"/>
  <cols>
    <col min="1" max="1" width="33.4414062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33.10937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96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95</v>
      </c>
      <c r="B4" s="1025" t="s">
        <v>96</v>
      </c>
      <c r="C4" s="1167" t="s">
        <v>90</v>
      </c>
      <c r="D4" s="125" t="s">
        <v>234</v>
      </c>
      <c r="E4" s="125">
        <f>SUM(E5:E9)</f>
        <v>3.7464006999999988</v>
      </c>
      <c r="F4" s="1043"/>
      <c r="G4" s="1007" t="s">
        <v>465</v>
      </c>
      <c r="H4" s="1164" t="s">
        <v>93</v>
      </c>
      <c r="I4" s="1065" t="s">
        <v>94</v>
      </c>
      <c r="J4" s="1016">
        <v>240</v>
      </c>
      <c r="K4" s="1136" t="s">
        <v>30</v>
      </c>
    </row>
    <row r="5" spans="1:11" x14ac:dyDescent="0.3">
      <c r="A5" s="1113"/>
      <c r="B5" s="1026"/>
      <c r="C5" s="1168"/>
      <c r="D5" s="72" t="s">
        <v>91</v>
      </c>
      <c r="E5" s="277">
        <f>SUM(E13:E29)</f>
        <v>3.6360047999999989</v>
      </c>
      <c r="F5" s="985"/>
      <c r="G5" s="1008"/>
      <c r="H5" s="1165"/>
      <c r="I5" s="1066"/>
      <c r="J5" s="1017"/>
      <c r="K5" s="1137"/>
    </row>
    <row r="6" spans="1:11" x14ac:dyDescent="0.3">
      <c r="A6" s="1113"/>
      <c r="B6" s="1026"/>
      <c r="C6" s="1168"/>
      <c r="D6" s="172" t="s">
        <v>253</v>
      </c>
      <c r="E6" s="172">
        <f>SUM(E30:E42)</f>
        <v>9.9644900000000022E-2</v>
      </c>
      <c r="F6" s="985"/>
      <c r="G6" s="1008"/>
      <c r="H6" s="1165"/>
      <c r="I6" s="1066"/>
      <c r="J6" s="1017"/>
      <c r="K6" s="1137"/>
    </row>
    <row r="7" spans="1:11" x14ac:dyDescent="0.3">
      <c r="A7" s="1113"/>
      <c r="B7" s="1026"/>
      <c r="C7" s="1168"/>
      <c r="D7" s="335" t="s">
        <v>262</v>
      </c>
      <c r="E7" s="424">
        <f>SUM(E43)</f>
        <v>1.7310000000000001E-4</v>
      </c>
      <c r="F7" s="985"/>
      <c r="G7" s="1008"/>
      <c r="H7" s="1165"/>
      <c r="I7" s="1066"/>
      <c r="J7" s="1017"/>
      <c r="K7" s="1142"/>
    </row>
    <row r="8" spans="1:11" x14ac:dyDescent="0.3">
      <c r="A8" s="1113"/>
      <c r="B8" s="1026"/>
      <c r="C8" s="1168"/>
      <c r="D8" s="329" t="s">
        <v>240</v>
      </c>
      <c r="E8" s="329">
        <f>SUM(E44:E45)</f>
        <v>2.5779000000000002E-3</v>
      </c>
      <c r="F8" s="985"/>
      <c r="G8" s="1008"/>
      <c r="H8" s="1165"/>
      <c r="I8" s="1066"/>
      <c r="J8" s="1017"/>
      <c r="K8" s="1142"/>
    </row>
    <row r="9" spans="1:11" x14ac:dyDescent="0.3">
      <c r="A9" s="1113"/>
      <c r="B9" s="1026"/>
      <c r="C9" s="1168"/>
      <c r="D9" s="350" t="s">
        <v>255</v>
      </c>
      <c r="E9" s="350">
        <f>SUM(E46)</f>
        <v>8.0000000000000002E-3</v>
      </c>
      <c r="F9" s="985"/>
      <c r="G9" s="1008"/>
      <c r="H9" s="1165"/>
      <c r="I9" s="1066"/>
      <c r="J9" s="1017"/>
      <c r="K9" s="1142"/>
    </row>
    <row r="10" spans="1:11" ht="15" thickBot="1" x14ac:dyDescent="0.35">
      <c r="A10" s="1072"/>
      <c r="B10" s="1027"/>
      <c r="C10" s="1169"/>
      <c r="D10" s="80"/>
      <c r="E10" s="53"/>
      <c r="F10" s="1044"/>
      <c r="G10" s="1009"/>
      <c r="H10" s="1166"/>
      <c r="I10" s="1067"/>
      <c r="J10" s="1018"/>
      <c r="K10" s="1138"/>
    </row>
    <row r="11" spans="1:11" ht="15" thickBot="1" x14ac:dyDescent="0.35">
      <c r="A11"/>
      <c r="C11" s="3"/>
      <c r="E11" s="1"/>
      <c r="F11"/>
    </row>
    <row r="12" spans="1:11" x14ac:dyDescent="0.3">
      <c r="A12" s="1101" t="s">
        <v>95</v>
      </c>
      <c r="B12" s="83" t="s">
        <v>96</v>
      </c>
      <c r="C12" s="44"/>
      <c r="D12" s="90" t="s">
        <v>532</v>
      </c>
      <c r="E12" s="92">
        <f>SUM(E13:E46)</f>
        <v>3.7464006999999988</v>
      </c>
      <c r="F12" s="5"/>
      <c r="G12" s="38"/>
      <c r="H12" s="5"/>
      <c r="I12" s="5"/>
      <c r="J12" s="5"/>
      <c r="K12" s="6"/>
    </row>
    <row r="13" spans="1:11" x14ac:dyDescent="0.3">
      <c r="A13" s="1102"/>
      <c r="B13" s="97" t="s">
        <v>871</v>
      </c>
      <c r="C13" s="69"/>
      <c r="D13" s="1149" t="s">
        <v>91</v>
      </c>
      <c r="E13" s="99">
        <v>0.56299999999999994</v>
      </c>
      <c r="F13" s="3"/>
      <c r="G13" s="3"/>
      <c r="K13" s="8"/>
    </row>
    <row r="14" spans="1:11" x14ac:dyDescent="0.3">
      <c r="A14" s="1102"/>
      <c r="B14" s="97" t="s">
        <v>872</v>
      </c>
      <c r="C14" s="69"/>
      <c r="D14" s="1149"/>
      <c r="E14" s="99">
        <v>0.2</v>
      </c>
      <c r="F14" s="3"/>
      <c r="G14" s="3"/>
      <c r="K14" s="8"/>
    </row>
    <row r="15" spans="1:11" x14ac:dyDescent="0.3">
      <c r="A15" s="1102"/>
      <c r="B15" s="97" t="s">
        <v>873</v>
      </c>
      <c r="C15" s="69"/>
      <c r="D15" s="1149"/>
      <c r="E15" s="99">
        <v>1.1499999999999999</v>
      </c>
      <c r="F15" s="3"/>
      <c r="G15" s="3"/>
      <c r="K15" s="8"/>
    </row>
    <row r="16" spans="1:11" x14ac:dyDescent="0.3">
      <c r="A16" s="1102"/>
      <c r="B16" s="97" t="s">
        <v>874</v>
      </c>
      <c r="C16" s="69"/>
      <c r="D16" s="1149"/>
      <c r="E16" s="99">
        <v>0.27400000000000002</v>
      </c>
      <c r="F16" s="3"/>
      <c r="G16" s="3"/>
      <c r="K16" s="8"/>
    </row>
    <row r="17" spans="1:11" x14ac:dyDescent="0.3">
      <c r="A17" s="1102"/>
      <c r="B17" s="97" t="s">
        <v>875</v>
      </c>
      <c r="C17" s="69"/>
      <c r="D17" s="1149"/>
      <c r="E17" s="99">
        <v>0.29399999999999998</v>
      </c>
      <c r="F17" s="3"/>
      <c r="G17" s="3"/>
      <c r="K17" s="8"/>
    </row>
    <row r="18" spans="1:11" x14ac:dyDescent="0.3">
      <c r="A18" s="1102"/>
      <c r="B18" s="97" t="s">
        <v>876</v>
      </c>
      <c r="C18" s="69"/>
      <c r="D18" s="1149"/>
      <c r="E18" s="99">
        <v>0.61</v>
      </c>
      <c r="F18" s="3"/>
      <c r="G18" s="3"/>
      <c r="K18" s="8"/>
    </row>
    <row r="19" spans="1:11" x14ac:dyDescent="0.3">
      <c r="A19" s="1102"/>
      <c r="B19" s="97" t="s">
        <v>877</v>
      </c>
      <c r="C19" s="69"/>
      <c r="D19" s="1149"/>
      <c r="E19" s="99">
        <v>0.28999999999999998</v>
      </c>
      <c r="F19" s="3"/>
      <c r="G19" s="3"/>
      <c r="K19" s="8"/>
    </row>
    <row r="20" spans="1:11" x14ac:dyDescent="0.3">
      <c r="A20" s="1102"/>
      <c r="B20" s="97" t="s">
        <v>878</v>
      </c>
      <c r="C20" s="69"/>
      <c r="D20" s="1149"/>
      <c r="E20" s="99">
        <v>0.04</v>
      </c>
      <c r="F20" s="3"/>
      <c r="G20" s="3"/>
      <c r="K20" s="8"/>
    </row>
    <row r="21" spans="1:11" x14ac:dyDescent="0.3">
      <c r="A21" s="1102"/>
      <c r="B21" s="97" t="s">
        <v>879</v>
      </c>
      <c r="C21" s="69"/>
      <c r="D21" s="1149"/>
      <c r="E21" s="99">
        <v>8.5999999999999993E-2</v>
      </c>
      <c r="F21" s="3"/>
      <c r="G21" s="3"/>
      <c r="K21" s="8"/>
    </row>
    <row r="22" spans="1:11" x14ac:dyDescent="0.3">
      <c r="A22" s="1102"/>
      <c r="B22" s="97" t="s">
        <v>880</v>
      </c>
      <c r="C22" s="69"/>
      <c r="D22" s="1149"/>
      <c r="E22" s="99">
        <v>9.8000000000000004E-2</v>
      </c>
      <c r="F22" s="3"/>
      <c r="G22" s="3"/>
      <c r="K22" s="8"/>
    </row>
    <row r="23" spans="1:11" x14ac:dyDescent="0.3">
      <c r="A23" s="1102"/>
      <c r="B23" s="97" t="s">
        <v>881</v>
      </c>
      <c r="C23" s="69"/>
      <c r="D23" s="1149"/>
      <c r="E23" s="99">
        <v>0.01</v>
      </c>
      <c r="F23" s="3"/>
      <c r="G23" s="3"/>
      <c r="K23" s="8"/>
    </row>
    <row r="24" spans="1:11" x14ac:dyDescent="0.3">
      <c r="A24" s="1102"/>
      <c r="B24" s="97" t="s">
        <v>882</v>
      </c>
      <c r="C24" s="69"/>
      <c r="D24" s="1149"/>
      <c r="E24" s="99">
        <v>0.01</v>
      </c>
      <c r="F24" s="3"/>
      <c r="G24" s="3"/>
      <c r="K24" s="8"/>
    </row>
    <row r="25" spans="1:11" x14ac:dyDescent="0.3">
      <c r="A25" s="1102"/>
      <c r="B25" s="97" t="s">
        <v>883</v>
      </c>
      <c r="C25" s="69"/>
      <c r="D25" s="1149"/>
      <c r="E25" s="99">
        <v>7.0000000000000001E-3</v>
      </c>
      <c r="F25" s="3"/>
      <c r="G25" s="3"/>
      <c r="K25" s="8"/>
    </row>
    <row r="26" spans="1:11" x14ac:dyDescent="0.3">
      <c r="A26" s="1102"/>
      <c r="B26" s="97" t="s">
        <v>884</v>
      </c>
      <c r="C26" s="69"/>
      <c r="D26" s="1149"/>
      <c r="E26" s="190">
        <v>5.9590000000000001E-4</v>
      </c>
      <c r="F26" s="3"/>
      <c r="G26" s="3"/>
      <c r="K26" s="8"/>
    </row>
    <row r="27" spans="1:11" x14ac:dyDescent="0.3">
      <c r="A27" s="1102"/>
      <c r="B27" s="97" t="s">
        <v>665</v>
      </c>
      <c r="C27" s="69"/>
      <c r="D27" s="1149"/>
      <c r="E27" s="190">
        <v>7.6090000000000001E-4</v>
      </c>
      <c r="F27" s="3"/>
      <c r="G27" s="3"/>
      <c r="K27" s="8"/>
    </row>
    <row r="28" spans="1:11" x14ac:dyDescent="0.3">
      <c r="A28" s="1102"/>
      <c r="B28" s="97" t="s">
        <v>885</v>
      </c>
      <c r="C28" s="69"/>
      <c r="D28" s="1149"/>
      <c r="E28" s="190">
        <v>6.4800000000000003E-4</v>
      </c>
      <c r="F28" s="3"/>
      <c r="G28" s="3"/>
      <c r="K28" s="8"/>
    </row>
    <row r="29" spans="1:11" x14ac:dyDescent="0.3">
      <c r="A29" s="1102"/>
      <c r="B29" s="97" t="s">
        <v>886</v>
      </c>
      <c r="C29" s="69"/>
      <c r="D29" s="1149"/>
      <c r="E29" s="190">
        <v>2E-3</v>
      </c>
      <c r="F29" s="3"/>
      <c r="G29" s="3"/>
      <c r="K29" s="8"/>
    </row>
    <row r="30" spans="1:11" x14ac:dyDescent="0.3">
      <c r="A30" s="1102"/>
      <c r="B30" s="193" t="s">
        <v>844</v>
      </c>
      <c r="C30" s="3"/>
      <c r="D30" s="1096" t="s">
        <v>253</v>
      </c>
      <c r="E30" s="173">
        <v>7.0000000000000001E-3</v>
      </c>
      <c r="F30" s="3"/>
      <c r="K30" s="8"/>
    </row>
    <row r="31" spans="1:11" x14ac:dyDescent="0.3">
      <c r="A31" s="1102"/>
      <c r="B31" s="193" t="s">
        <v>845</v>
      </c>
      <c r="C31" s="3"/>
      <c r="D31" s="1096"/>
      <c r="E31" s="415">
        <v>7.6090000000000001E-4</v>
      </c>
      <c r="F31" s="3"/>
      <c r="K31" s="8"/>
    </row>
    <row r="32" spans="1:11" x14ac:dyDescent="0.3">
      <c r="A32" s="1102"/>
      <c r="B32" s="193" t="s">
        <v>582</v>
      </c>
      <c r="C32" s="3"/>
      <c r="D32" s="1096"/>
      <c r="E32" s="173">
        <v>1.4999999999999999E-2</v>
      </c>
      <c r="F32" s="3"/>
      <c r="K32" s="8"/>
    </row>
    <row r="33" spans="1:11" x14ac:dyDescent="0.3">
      <c r="A33" s="1102"/>
      <c r="B33" s="193" t="s">
        <v>846</v>
      </c>
      <c r="C33" s="3"/>
      <c r="D33" s="1096"/>
      <c r="E33" s="415">
        <v>3.3070000000000002E-4</v>
      </c>
      <c r="F33" s="3"/>
      <c r="K33" s="8"/>
    </row>
    <row r="34" spans="1:11" x14ac:dyDescent="0.3">
      <c r="A34" s="1102"/>
      <c r="B34" s="193" t="s">
        <v>847</v>
      </c>
      <c r="C34" s="3"/>
      <c r="D34" s="1096"/>
      <c r="E34" s="173">
        <v>4.0000000000000001E-3</v>
      </c>
      <c r="F34" s="3"/>
      <c r="K34" s="8"/>
    </row>
    <row r="35" spans="1:11" x14ac:dyDescent="0.3">
      <c r="A35" s="1102"/>
      <c r="B35" s="193" t="s">
        <v>887</v>
      </c>
      <c r="C35" s="3"/>
      <c r="D35" s="1096"/>
      <c r="E35" s="173">
        <v>2.9000000000000001E-2</v>
      </c>
      <c r="F35" s="3"/>
      <c r="K35" s="8"/>
    </row>
    <row r="36" spans="1:11" x14ac:dyDescent="0.3">
      <c r="A36" s="1102"/>
      <c r="B36" s="193" t="s">
        <v>888</v>
      </c>
      <c r="C36" s="3"/>
      <c r="D36" s="1096"/>
      <c r="E36" s="173">
        <v>6.0000000000000001E-3</v>
      </c>
      <c r="F36" s="3"/>
      <c r="K36" s="8"/>
    </row>
    <row r="37" spans="1:11" x14ac:dyDescent="0.3">
      <c r="A37" s="1102"/>
      <c r="B37" s="193" t="s">
        <v>889</v>
      </c>
      <c r="C37" s="3"/>
      <c r="D37" s="1096"/>
      <c r="E37" s="173">
        <v>8.9999999999999993E-3</v>
      </c>
      <c r="F37" s="3"/>
      <c r="K37" s="8"/>
    </row>
    <row r="38" spans="1:11" x14ac:dyDescent="0.3">
      <c r="A38" s="1102"/>
      <c r="B38" s="193" t="s">
        <v>890</v>
      </c>
      <c r="C38" s="3"/>
      <c r="D38" s="1096"/>
      <c r="E38" s="173">
        <v>1.4999999999999999E-2</v>
      </c>
      <c r="F38" s="3"/>
      <c r="K38" s="8"/>
    </row>
    <row r="39" spans="1:11" x14ac:dyDescent="0.3">
      <c r="A39" s="1102"/>
      <c r="B39" s="193" t="s">
        <v>891</v>
      </c>
      <c r="C39" s="3"/>
      <c r="D39" s="1096"/>
      <c r="E39" s="173">
        <v>4.0000000000000001E-3</v>
      </c>
      <c r="F39" s="3"/>
      <c r="K39" s="8"/>
    </row>
    <row r="40" spans="1:11" x14ac:dyDescent="0.3">
      <c r="A40" s="1102"/>
      <c r="B40" s="193" t="s">
        <v>892</v>
      </c>
      <c r="C40" s="3"/>
      <c r="D40" s="1096"/>
      <c r="E40" s="173">
        <v>4.0000000000000001E-3</v>
      </c>
      <c r="F40" s="3"/>
      <c r="K40" s="8"/>
    </row>
    <row r="41" spans="1:11" x14ac:dyDescent="0.3">
      <c r="A41" s="1102"/>
      <c r="B41" s="193" t="s">
        <v>893</v>
      </c>
      <c r="C41" s="3"/>
      <c r="D41" s="1096"/>
      <c r="E41" s="173">
        <v>5.0000000000000001E-3</v>
      </c>
      <c r="F41" s="3"/>
      <c r="K41" s="8"/>
    </row>
    <row r="42" spans="1:11" x14ac:dyDescent="0.3">
      <c r="A42" s="1102"/>
      <c r="B42" s="193" t="s">
        <v>894</v>
      </c>
      <c r="C42" s="3"/>
      <c r="D42" s="1096"/>
      <c r="E42" s="415">
        <v>5.5329999999999995E-4</v>
      </c>
      <c r="F42" s="3"/>
      <c r="K42" s="8"/>
    </row>
    <row r="43" spans="1:11" x14ac:dyDescent="0.3">
      <c r="A43" s="1102"/>
      <c r="B43" s="88" t="s">
        <v>895</v>
      </c>
      <c r="C43" s="3"/>
      <c r="D43" s="79" t="s">
        <v>262</v>
      </c>
      <c r="E43" s="425">
        <v>1.7310000000000001E-4</v>
      </c>
      <c r="F43" s="3"/>
      <c r="K43" s="8"/>
    </row>
    <row r="44" spans="1:11" x14ac:dyDescent="0.3">
      <c r="A44" s="1102"/>
      <c r="B44" s="164" t="s">
        <v>896</v>
      </c>
      <c r="C44" s="3"/>
      <c r="D44" s="1104" t="s">
        <v>240</v>
      </c>
      <c r="E44" s="65">
        <v>2E-3</v>
      </c>
      <c r="F44" s="3"/>
      <c r="K44" s="8"/>
    </row>
    <row r="45" spans="1:11" x14ac:dyDescent="0.3">
      <c r="A45" s="1102"/>
      <c r="B45" s="164" t="s">
        <v>897</v>
      </c>
      <c r="C45" s="3"/>
      <c r="D45" s="1104"/>
      <c r="E45" s="434">
        <v>5.7790000000000001E-4</v>
      </c>
      <c r="F45" s="3"/>
      <c r="K45" s="8"/>
    </row>
    <row r="46" spans="1:11" x14ac:dyDescent="0.3">
      <c r="A46" s="1102"/>
      <c r="B46" s="348" t="s">
        <v>848</v>
      </c>
      <c r="C46" s="3"/>
      <c r="D46" s="349" t="s">
        <v>255</v>
      </c>
      <c r="E46" s="349">
        <v>8.0000000000000002E-3</v>
      </c>
      <c r="F46" s="3"/>
      <c r="K46" s="8"/>
    </row>
    <row r="47" spans="1:11" ht="15" thickBot="1" x14ac:dyDescent="0.35">
      <c r="A47" s="1103"/>
      <c r="B47" s="89"/>
      <c r="C47" s="9"/>
      <c r="D47" s="91"/>
      <c r="E47" s="91"/>
      <c r="F47" s="9"/>
      <c r="G47" s="9"/>
      <c r="H47" s="9"/>
      <c r="I47" s="9"/>
      <c r="J47" s="9"/>
      <c r="K47" s="10"/>
    </row>
    <row r="48" spans="1:11" x14ac:dyDescent="0.3">
      <c r="A48"/>
      <c r="C48"/>
      <c r="E48"/>
      <c r="F48"/>
    </row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ht="15" customHeigh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ht="15" customHeight="1" x14ac:dyDescent="0.3"/>
    <row r="90" customFormat="1" x14ac:dyDescent="0.3"/>
    <row r="91" customFormat="1" x14ac:dyDescent="0.3"/>
    <row r="92" customFormat="1" x14ac:dyDescent="0.3"/>
    <row r="93" customFormat="1" ht="15" customHeight="1" x14ac:dyDescent="0.3"/>
    <row r="94" customFormat="1" x14ac:dyDescent="0.3"/>
    <row r="95" customFormat="1" x14ac:dyDescent="0.3"/>
    <row r="96" customFormat="1" ht="15" customHeigh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ht="15" customHeight="1" x14ac:dyDescent="0.3"/>
    <row r="132" customFormat="1" x14ac:dyDescent="0.3"/>
    <row r="133" customFormat="1" x14ac:dyDescent="0.3"/>
    <row r="134" customFormat="1" ht="15" customHeigh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ht="15" customHeigh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spans="1:6" customFormat="1" x14ac:dyDescent="0.3"/>
    <row r="162" spans="1:6" customFormat="1" ht="15" customHeight="1" x14ac:dyDescent="0.3"/>
    <row r="163" spans="1:6" customFormat="1" x14ac:dyDescent="0.3"/>
    <row r="164" spans="1:6" customFormat="1" x14ac:dyDescent="0.3"/>
    <row r="165" spans="1:6" customFormat="1" x14ac:dyDescent="0.3"/>
    <row r="166" spans="1:6" customFormat="1" x14ac:dyDescent="0.3"/>
    <row r="167" spans="1:6" customFormat="1" x14ac:dyDescent="0.3"/>
    <row r="168" spans="1:6" customFormat="1" x14ac:dyDescent="0.3"/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ht="15" customHeight="1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  <row r="238" spans="1:6" x14ac:dyDescent="0.3">
      <c r="A238"/>
      <c r="C238" s="3"/>
      <c r="E238" s="1"/>
      <c r="F238"/>
    </row>
    <row r="239" spans="1:6" x14ac:dyDescent="0.3">
      <c r="A239"/>
      <c r="C239" s="3"/>
      <c r="E239" s="1"/>
      <c r="F239"/>
    </row>
    <row r="240" spans="1:6" x14ac:dyDescent="0.3">
      <c r="A240"/>
      <c r="C240" s="3"/>
      <c r="E240" s="1"/>
      <c r="F240"/>
    </row>
    <row r="241" spans="1:6" x14ac:dyDescent="0.3">
      <c r="A241"/>
      <c r="C241" s="3"/>
      <c r="E241" s="1"/>
      <c r="F241"/>
    </row>
    <row r="242" spans="1:6" ht="15" customHeight="1" x14ac:dyDescent="0.3">
      <c r="A242"/>
      <c r="C242" s="3"/>
      <c r="E242" s="1"/>
      <c r="F242"/>
    </row>
    <row r="243" spans="1:6" x14ac:dyDescent="0.3">
      <c r="A243"/>
      <c r="C243" s="3"/>
      <c r="E243" s="1"/>
      <c r="F243"/>
    </row>
    <row r="244" spans="1:6" x14ac:dyDescent="0.3">
      <c r="A244"/>
      <c r="C244" s="3"/>
      <c r="E244" s="1"/>
      <c r="F244"/>
    </row>
    <row r="245" spans="1:6" x14ac:dyDescent="0.3">
      <c r="A245"/>
      <c r="C245" s="3"/>
      <c r="E245" s="1"/>
      <c r="F245"/>
    </row>
    <row r="246" spans="1:6" x14ac:dyDescent="0.3">
      <c r="A246"/>
      <c r="C246" s="3"/>
      <c r="E246" s="1"/>
      <c r="F246"/>
    </row>
    <row r="247" spans="1:6" x14ac:dyDescent="0.3">
      <c r="A247"/>
      <c r="C247" s="3"/>
      <c r="E247" s="1"/>
      <c r="F247"/>
    </row>
    <row r="248" spans="1:6" x14ac:dyDescent="0.3">
      <c r="A248"/>
      <c r="C248" s="3"/>
      <c r="E248" s="1"/>
      <c r="F248"/>
    </row>
    <row r="249" spans="1:6" x14ac:dyDescent="0.3">
      <c r="A249"/>
      <c r="C249" s="3"/>
      <c r="E249" s="1"/>
      <c r="F249"/>
    </row>
    <row r="250" spans="1:6" x14ac:dyDescent="0.3">
      <c r="A250"/>
      <c r="C250" s="3"/>
      <c r="E250" s="1"/>
      <c r="F250"/>
    </row>
    <row r="251" spans="1:6" x14ac:dyDescent="0.3">
      <c r="A251"/>
      <c r="C251" s="3"/>
      <c r="E251" s="1"/>
      <c r="F251"/>
    </row>
    <row r="252" spans="1:6" x14ac:dyDescent="0.3">
      <c r="A252"/>
      <c r="C252" s="3"/>
      <c r="E252" s="1"/>
      <c r="F252"/>
    </row>
    <row r="253" spans="1:6" x14ac:dyDescent="0.3">
      <c r="A253"/>
      <c r="C253" s="3"/>
      <c r="E253" s="1"/>
      <c r="F253"/>
    </row>
    <row r="254" spans="1:6" x14ac:dyDescent="0.3">
      <c r="A254"/>
      <c r="C254" s="3"/>
      <c r="E254" s="1"/>
      <c r="F254"/>
    </row>
    <row r="255" spans="1:6" x14ac:dyDescent="0.3">
      <c r="A255"/>
      <c r="C255" s="3"/>
      <c r="E255" s="1"/>
      <c r="F255"/>
    </row>
    <row r="256" spans="1:6" x14ac:dyDescent="0.3">
      <c r="A256"/>
      <c r="C256" s="3"/>
      <c r="E256" s="1"/>
      <c r="F256"/>
    </row>
  </sheetData>
  <mergeCells count="13">
    <mergeCell ref="I4:I10"/>
    <mergeCell ref="J4:J10"/>
    <mergeCell ref="K4:K10"/>
    <mergeCell ref="A12:A47"/>
    <mergeCell ref="A4:A10"/>
    <mergeCell ref="B4:B10"/>
    <mergeCell ref="F4:F10"/>
    <mergeCell ref="G4:G10"/>
    <mergeCell ref="H4:H10"/>
    <mergeCell ref="C4:C10"/>
    <mergeCell ref="D13:D29"/>
    <mergeCell ref="D30:D42"/>
    <mergeCell ref="D44:D45"/>
  </mergeCells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 codeName="Feuil14"/>
  <dimension ref="A1:O287"/>
  <sheetViews>
    <sheetView topLeftCell="E1" zoomScale="70" zoomScaleNormal="70" workbookViewId="0">
      <selection activeCell="E3" sqref="E3:J11"/>
    </sheetView>
  </sheetViews>
  <sheetFormatPr baseColWidth="10" defaultColWidth="11.44140625" defaultRowHeight="14.4" x14ac:dyDescent="0.3"/>
  <cols>
    <col min="1" max="1" width="39.109375" style="29" bestFit="1" customWidth="1"/>
    <col min="2" max="2" width="77.44140625" bestFit="1" customWidth="1"/>
    <col min="3" max="3" width="35.6640625" style="50" bestFit="1" customWidth="1"/>
    <col min="4" max="4" width="35.88671875" bestFit="1" customWidth="1"/>
    <col min="5" max="5" width="13.44140625" style="3" customWidth="1"/>
    <col min="6" max="6" width="26" style="1" bestFit="1" customWidth="1"/>
    <col min="7" max="7" width="21.6640625" bestFit="1" customWidth="1"/>
    <col min="8" max="8" width="16.88671875" bestFit="1" customWidth="1"/>
    <col min="9" max="9" width="12" bestFit="1" customWidth="1"/>
    <col min="10" max="10" width="30.109375" bestFit="1" customWidth="1"/>
    <col min="11" max="11" width="36" bestFit="1" customWidth="1"/>
    <col min="12" max="12" width="20.109375" bestFit="1" customWidth="1"/>
    <col min="13" max="13" width="31.44140625" bestFit="1" customWidth="1"/>
    <col min="14" max="14" width="45.109375" bestFit="1" customWidth="1"/>
    <col min="15" max="15" width="16" customWidth="1"/>
  </cols>
  <sheetData>
    <row r="1" spans="1:15" ht="15" thickBot="1" x14ac:dyDescent="0.35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720" t="s">
        <v>529</v>
      </c>
      <c r="G1" s="1143" t="s">
        <v>530</v>
      </c>
      <c r="H1" s="1091"/>
      <c r="I1" s="1091"/>
      <c r="J1" s="1144"/>
      <c r="K1" s="30" t="s">
        <v>11</v>
      </c>
      <c r="L1" s="30" t="s">
        <v>12</v>
      </c>
      <c r="M1" s="30" t="s">
        <v>13</v>
      </c>
      <c r="N1" s="30" t="s">
        <v>16</v>
      </c>
      <c r="O1" s="30" t="s">
        <v>17</v>
      </c>
    </row>
    <row r="2" spans="1:15" ht="15" thickBot="1" x14ac:dyDescent="0.35">
      <c r="A2" s="31"/>
      <c r="B2" s="113" t="s">
        <v>103</v>
      </c>
      <c r="C2" s="49"/>
      <c r="D2" s="34"/>
      <c r="E2" s="33"/>
      <c r="F2" s="720" t="s">
        <v>402</v>
      </c>
      <c r="G2" s="747" t="s">
        <v>530</v>
      </c>
      <c r="H2" s="636" t="s">
        <v>404</v>
      </c>
      <c r="I2" s="747" t="s">
        <v>406</v>
      </c>
      <c r="J2" s="742" t="s">
        <v>407</v>
      </c>
      <c r="K2" s="34"/>
      <c r="L2" s="34"/>
      <c r="M2" s="34"/>
      <c r="N2" s="34"/>
      <c r="O2" s="34"/>
    </row>
    <row r="3" spans="1:15" ht="15.75" customHeight="1" thickBot="1" x14ac:dyDescent="0.35">
      <c r="A3" s="1071" t="s">
        <v>102</v>
      </c>
      <c r="B3" s="1025" t="s">
        <v>103</v>
      </c>
      <c r="C3" s="1034" t="s">
        <v>90</v>
      </c>
      <c r="D3" s="125" t="s">
        <v>234</v>
      </c>
      <c r="E3" s="125">
        <f>SUM(E4:E11)</f>
        <v>3.8082376999999994</v>
      </c>
      <c r="F3" s="702">
        <f>SUM(F4)</f>
        <v>10.583999999999998</v>
      </c>
      <c r="G3" s="702"/>
      <c r="H3" s="702">
        <f>SUM(H4)</f>
        <v>12.77</v>
      </c>
      <c r="I3" s="702">
        <f>SUM(I4)</f>
        <v>0.19700000000000001</v>
      </c>
      <c r="J3" s="706"/>
      <c r="K3" s="1007" t="s">
        <v>483</v>
      </c>
      <c r="L3" s="1007" t="s">
        <v>99</v>
      </c>
      <c r="M3" s="1016" t="s">
        <v>100</v>
      </c>
      <c r="N3" s="1016">
        <v>515</v>
      </c>
      <c r="O3" s="1136" t="s">
        <v>30</v>
      </c>
    </row>
    <row r="4" spans="1:15" ht="15.75" customHeight="1" x14ac:dyDescent="0.3">
      <c r="A4" s="1113"/>
      <c r="B4" s="1026"/>
      <c r="C4" s="1035"/>
      <c r="D4" s="77" t="s">
        <v>47</v>
      </c>
      <c r="E4" s="282">
        <f>SUM(E16:E25)</f>
        <v>2.4299999999999997</v>
      </c>
      <c r="F4" s="162">
        <f>SUM(F16:F19)</f>
        <v>10.583999999999998</v>
      </c>
      <c r="G4" s="162"/>
      <c r="H4" s="162">
        <f>SUM(H16:H19)</f>
        <v>12.77</v>
      </c>
      <c r="I4" s="162">
        <f>SUM(I16:I19)</f>
        <v>0.19700000000000001</v>
      </c>
      <c r="J4" s="165" t="s">
        <v>51</v>
      </c>
      <c r="K4" s="1008"/>
      <c r="L4" s="1008"/>
      <c r="M4" s="1162"/>
      <c r="N4" s="1162"/>
      <c r="O4" s="1163"/>
    </row>
    <row r="5" spans="1:15" x14ac:dyDescent="0.3">
      <c r="A5" s="1113"/>
      <c r="B5" s="1026"/>
      <c r="C5" s="1035"/>
      <c r="D5" s="70" t="s">
        <v>252</v>
      </c>
      <c r="E5" s="121">
        <f>SUM(E26)</f>
        <v>0.18</v>
      </c>
      <c r="F5" s="694"/>
      <c r="G5" s="662"/>
      <c r="H5" s="662"/>
      <c r="I5" s="662"/>
      <c r="J5" s="8"/>
      <c r="K5" s="1008"/>
      <c r="L5" s="1008"/>
      <c r="M5" s="1017"/>
      <c r="N5" s="1017"/>
      <c r="O5" s="1137"/>
    </row>
    <row r="6" spans="1:15" x14ac:dyDescent="0.3">
      <c r="A6" s="1113"/>
      <c r="B6" s="1026"/>
      <c r="C6" s="1035"/>
      <c r="D6" s="72" t="s">
        <v>91</v>
      </c>
      <c r="E6" s="278">
        <f>SUM(E27:E32)</f>
        <v>0.316</v>
      </c>
      <c r="F6" s="694"/>
      <c r="G6" s="662"/>
      <c r="H6" s="662"/>
      <c r="I6" s="662"/>
      <c r="J6" s="8"/>
      <c r="K6" s="1008"/>
      <c r="L6" s="1008"/>
      <c r="M6" s="1017"/>
      <c r="N6" s="1017"/>
      <c r="O6" s="1137"/>
    </row>
    <row r="7" spans="1:15" x14ac:dyDescent="0.3">
      <c r="A7" s="1113"/>
      <c r="B7" s="1026"/>
      <c r="C7" s="1035"/>
      <c r="D7" s="435" t="s">
        <v>60</v>
      </c>
      <c r="E7" s="436">
        <f>SUM(E33:E35)</f>
        <v>0.1175071</v>
      </c>
      <c r="F7" s="694"/>
      <c r="G7" s="662"/>
      <c r="H7" s="662"/>
      <c r="I7" s="662"/>
      <c r="J7" s="8"/>
      <c r="K7" s="1008"/>
      <c r="L7" s="1008"/>
      <c r="M7" s="1145"/>
      <c r="N7" s="1145"/>
      <c r="O7" s="1142"/>
    </row>
    <row r="8" spans="1:15" x14ac:dyDescent="0.3">
      <c r="A8" s="1113"/>
      <c r="B8" s="1026"/>
      <c r="C8" s="1035"/>
      <c r="D8" s="312" t="s">
        <v>244</v>
      </c>
      <c r="E8" s="437">
        <f>SUM(E36:E42)</f>
        <v>1.8054000000000001E-2</v>
      </c>
      <c r="F8" s="694"/>
      <c r="G8" s="662"/>
      <c r="H8" s="662"/>
      <c r="I8" s="662"/>
      <c r="J8" s="8"/>
      <c r="K8" s="1008"/>
      <c r="L8" s="1008"/>
      <c r="M8" s="1145"/>
      <c r="N8" s="1145"/>
      <c r="O8" s="1142"/>
    </row>
    <row r="9" spans="1:15" x14ac:dyDescent="0.3">
      <c r="A9" s="1113"/>
      <c r="B9" s="1026"/>
      <c r="C9" s="1035"/>
      <c r="D9" s="319" t="s">
        <v>253</v>
      </c>
      <c r="E9" s="418">
        <f>SUM(E43:E71)</f>
        <v>0.7096766000000001</v>
      </c>
      <c r="F9" s="694"/>
      <c r="G9" s="662"/>
      <c r="H9" s="662"/>
      <c r="I9" s="662"/>
      <c r="J9" s="8"/>
      <c r="K9" s="1008"/>
      <c r="L9" s="1008"/>
      <c r="M9" s="1145"/>
      <c r="N9" s="1145"/>
      <c r="O9" s="1142"/>
    </row>
    <row r="10" spans="1:15" x14ac:dyDescent="0.3">
      <c r="A10" s="1113"/>
      <c r="B10" s="1026"/>
      <c r="C10" s="1035"/>
      <c r="D10" s="422" t="s">
        <v>265</v>
      </c>
      <c r="E10" s="423">
        <f>SUM(E72:E74)</f>
        <v>2.7E-2</v>
      </c>
      <c r="F10" s="694"/>
      <c r="G10" s="662"/>
      <c r="H10" s="662"/>
      <c r="I10" s="662"/>
      <c r="J10" s="8"/>
      <c r="K10" s="1008"/>
      <c r="L10" s="1008"/>
      <c r="M10" s="1145"/>
      <c r="N10" s="1145"/>
      <c r="O10" s="1142"/>
    </row>
    <row r="11" spans="1:15" x14ac:dyDescent="0.3">
      <c r="A11" s="1113"/>
      <c r="B11" s="1026"/>
      <c r="C11" s="1035"/>
      <c r="D11" s="335" t="s">
        <v>262</v>
      </c>
      <c r="E11" s="424">
        <f>SUM(E75:E76)</f>
        <v>0.01</v>
      </c>
      <c r="F11" s="694"/>
      <c r="G11" s="662"/>
      <c r="H11" s="662"/>
      <c r="I11" s="662"/>
      <c r="J11" s="8"/>
      <c r="K11" s="1008"/>
      <c r="L11" s="1008"/>
      <c r="M11" s="1145"/>
      <c r="N11" s="1145"/>
      <c r="O11" s="1142"/>
    </row>
    <row r="12" spans="1:15" x14ac:dyDescent="0.3">
      <c r="A12" s="1113"/>
      <c r="B12" s="1026"/>
      <c r="C12" s="1035"/>
      <c r="D12" s="123"/>
      <c r="E12" s="123"/>
      <c r="F12" s="694"/>
      <c r="G12" s="662"/>
      <c r="H12" s="662"/>
      <c r="I12" s="662"/>
      <c r="J12" s="8"/>
      <c r="K12" s="1008"/>
      <c r="L12" s="1008"/>
      <c r="M12" s="1145"/>
      <c r="N12" s="1145"/>
      <c r="O12" s="1142"/>
    </row>
    <row r="13" spans="1:15" ht="15" thickBot="1" x14ac:dyDescent="0.35">
      <c r="A13" s="1072"/>
      <c r="B13" s="1027"/>
      <c r="C13" s="1036"/>
      <c r="D13" s="80"/>
      <c r="E13" s="53"/>
      <c r="F13" s="695"/>
      <c r="G13" s="91"/>
      <c r="H13" s="91"/>
      <c r="I13" s="91"/>
      <c r="J13" s="10"/>
      <c r="K13" s="1009"/>
      <c r="L13" s="1009"/>
      <c r="M13" s="1018"/>
      <c r="N13" s="1018"/>
      <c r="O13" s="1138"/>
    </row>
    <row r="14" spans="1:15" ht="15" thickBot="1" x14ac:dyDescent="0.35">
      <c r="A14"/>
      <c r="C14" s="3"/>
      <c r="E14" s="1"/>
    </row>
    <row r="15" spans="1:15" ht="15" thickBot="1" x14ac:dyDescent="0.35">
      <c r="A15" s="1101" t="s">
        <v>102</v>
      </c>
      <c r="B15" s="83" t="s">
        <v>103</v>
      </c>
      <c r="C15" s="44"/>
      <c r="D15" s="90" t="s">
        <v>532</v>
      </c>
      <c r="E15" s="92">
        <f>SUM(E16:E77)</f>
        <v>3.8082376999999976</v>
      </c>
      <c r="F15" s="735" t="s">
        <v>402</v>
      </c>
      <c r="G15" s="735" t="s">
        <v>530</v>
      </c>
      <c r="H15" s="735" t="s">
        <v>404</v>
      </c>
      <c r="I15" s="735" t="s">
        <v>406</v>
      </c>
      <c r="J15" s="735" t="s">
        <v>407</v>
      </c>
      <c r="K15" s="38"/>
      <c r="L15" s="5"/>
      <c r="M15" s="5"/>
      <c r="N15" s="5"/>
      <c r="O15" s="6"/>
    </row>
    <row r="16" spans="1:15" ht="15" thickBot="1" x14ac:dyDescent="0.35">
      <c r="A16" s="1102"/>
      <c r="B16" s="126" t="s">
        <v>898</v>
      </c>
      <c r="C16" s="69"/>
      <c r="D16" s="1093" t="s">
        <v>47</v>
      </c>
      <c r="E16" s="166">
        <v>0.67700000000000005</v>
      </c>
      <c r="F16" s="727">
        <f>SUM(H16-E16)</f>
        <v>4.2129999999999992</v>
      </c>
      <c r="G16" s="727" t="s">
        <v>899</v>
      </c>
      <c r="H16" s="727">
        <v>4.8899999999999997</v>
      </c>
      <c r="I16" s="727">
        <v>8.4000000000000005E-2</v>
      </c>
      <c r="J16" s="727" t="s">
        <v>51</v>
      </c>
      <c r="K16" s="3"/>
      <c r="O16" s="8"/>
    </row>
    <row r="17" spans="1:15" ht="15" thickBot="1" x14ac:dyDescent="0.35">
      <c r="A17" s="1102"/>
      <c r="B17" s="126" t="s">
        <v>900</v>
      </c>
      <c r="C17" s="69"/>
      <c r="D17" s="1093"/>
      <c r="E17" s="166">
        <v>0.88400000000000001</v>
      </c>
      <c r="F17" s="727">
        <f>SUM(H17-E17)</f>
        <v>3.2929999999999997</v>
      </c>
      <c r="G17" s="727" t="s">
        <v>901</v>
      </c>
      <c r="H17" s="727">
        <v>4.1769999999999996</v>
      </c>
      <c r="I17" s="727">
        <v>4.9000000000000002E-2</v>
      </c>
      <c r="J17" s="727" t="s">
        <v>51</v>
      </c>
      <c r="K17" s="3"/>
      <c r="O17" s="8"/>
    </row>
    <row r="18" spans="1:15" ht="15" thickBot="1" x14ac:dyDescent="0.35">
      <c r="A18" s="1102"/>
      <c r="B18" s="126" t="s">
        <v>902</v>
      </c>
      <c r="C18" s="69"/>
      <c r="D18" s="1093"/>
      <c r="E18" s="753">
        <v>0.36799999999999999</v>
      </c>
      <c r="F18" s="727">
        <f>SUM(H18-E18)</f>
        <v>1.69</v>
      </c>
      <c r="G18" s="727" t="s">
        <v>903</v>
      </c>
      <c r="H18" s="727">
        <v>2.0579999999999998</v>
      </c>
      <c r="I18" s="727">
        <v>3.4000000000000002E-2</v>
      </c>
      <c r="J18" s="727" t="s">
        <v>51</v>
      </c>
      <c r="K18" s="3"/>
      <c r="O18" s="8"/>
    </row>
    <row r="19" spans="1:15" ht="15" thickBot="1" x14ac:dyDescent="0.35">
      <c r="A19" s="1102"/>
      <c r="B19" s="126" t="s">
        <v>904</v>
      </c>
      <c r="C19" s="69"/>
      <c r="D19" s="1093"/>
      <c r="E19" s="166">
        <v>0.25700000000000001</v>
      </c>
      <c r="F19" s="727">
        <f>SUM(H19-E19)</f>
        <v>1.3879999999999999</v>
      </c>
      <c r="G19" s="727" t="s">
        <v>905</v>
      </c>
      <c r="H19" s="727">
        <v>1.645</v>
      </c>
      <c r="I19" s="727">
        <v>0.03</v>
      </c>
      <c r="J19" s="727" t="s">
        <v>51</v>
      </c>
      <c r="K19" s="3"/>
      <c r="O19" s="8"/>
    </row>
    <row r="20" spans="1:15" x14ac:dyDescent="0.3">
      <c r="A20" s="1102"/>
      <c r="B20" s="126" t="s">
        <v>906</v>
      </c>
      <c r="C20" s="69"/>
      <c r="D20" s="1093"/>
      <c r="E20" s="166">
        <v>6.9000000000000006E-2</v>
      </c>
      <c r="F20"/>
      <c r="K20" s="3"/>
      <c r="O20" s="8"/>
    </row>
    <row r="21" spans="1:15" x14ac:dyDescent="0.3">
      <c r="A21" s="1102"/>
      <c r="B21" s="126" t="s">
        <v>907</v>
      </c>
      <c r="C21" s="69"/>
      <c r="D21" s="1093"/>
      <c r="E21" s="166">
        <v>1.2999999999999999E-2</v>
      </c>
      <c r="F21"/>
      <c r="K21" s="3"/>
      <c r="O21" s="8"/>
    </row>
    <row r="22" spans="1:15" x14ac:dyDescent="0.3">
      <c r="A22" s="1102"/>
      <c r="B22" s="126" t="s">
        <v>908</v>
      </c>
      <c r="C22" s="69"/>
      <c r="D22" s="1093"/>
      <c r="E22" s="166">
        <v>0.11600000000000001</v>
      </c>
      <c r="F22"/>
      <c r="K22" s="3"/>
      <c r="O22" s="8"/>
    </row>
    <row r="23" spans="1:15" x14ac:dyDescent="0.3">
      <c r="A23" s="1102"/>
      <c r="B23" s="126" t="s">
        <v>909</v>
      </c>
      <c r="C23" s="69"/>
      <c r="D23" s="1093"/>
      <c r="E23" s="166">
        <v>5.0000000000000001E-3</v>
      </c>
      <c r="F23"/>
      <c r="K23" s="3"/>
      <c r="O23" s="8"/>
    </row>
    <row r="24" spans="1:15" x14ac:dyDescent="0.3">
      <c r="A24" s="1102"/>
      <c r="B24" s="126" t="s">
        <v>910</v>
      </c>
      <c r="C24" s="69"/>
      <c r="D24" s="1093"/>
      <c r="E24" s="166">
        <v>1.6E-2</v>
      </c>
      <c r="F24"/>
      <c r="K24" s="3"/>
      <c r="O24" s="8"/>
    </row>
    <row r="25" spans="1:15" x14ac:dyDescent="0.3">
      <c r="A25" s="1102"/>
      <c r="B25" s="126" t="s">
        <v>911</v>
      </c>
      <c r="C25" s="69"/>
      <c r="D25" s="1093"/>
      <c r="E25" s="166">
        <v>2.5000000000000001E-2</v>
      </c>
      <c r="F25"/>
      <c r="K25" s="3"/>
      <c r="O25" s="8"/>
    </row>
    <row r="26" spans="1:15" x14ac:dyDescent="0.3">
      <c r="A26" s="1102"/>
      <c r="B26" s="101" t="s">
        <v>912</v>
      </c>
      <c r="C26" s="69"/>
      <c r="D26" s="117">
        <v>2024</v>
      </c>
      <c r="E26" s="105">
        <v>0.18</v>
      </c>
      <c r="F26"/>
      <c r="K26" s="3"/>
      <c r="O26" s="8"/>
    </row>
    <row r="27" spans="1:15" x14ac:dyDescent="0.3">
      <c r="A27" s="1102"/>
      <c r="B27" s="97" t="s">
        <v>913</v>
      </c>
      <c r="C27" s="69"/>
      <c r="D27" s="1149" t="s">
        <v>91</v>
      </c>
      <c r="E27" s="190">
        <v>7.3999999999999996E-2</v>
      </c>
      <c r="F27"/>
      <c r="K27" s="3"/>
      <c r="O27" s="8"/>
    </row>
    <row r="28" spans="1:15" x14ac:dyDescent="0.3">
      <c r="A28" s="1102"/>
      <c r="B28" s="97" t="s">
        <v>914</v>
      </c>
      <c r="C28" s="69"/>
      <c r="D28" s="1149"/>
      <c r="E28" s="190">
        <v>0.161</v>
      </c>
      <c r="F28"/>
      <c r="K28" s="3"/>
      <c r="O28" s="8"/>
    </row>
    <row r="29" spans="1:15" x14ac:dyDescent="0.3">
      <c r="A29" s="1102"/>
      <c r="B29" s="97" t="s">
        <v>915</v>
      </c>
      <c r="C29" s="69"/>
      <c r="D29" s="1149"/>
      <c r="E29" s="190">
        <v>4.2000000000000003E-2</v>
      </c>
      <c r="F29"/>
      <c r="K29" s="3"/>
      <c r="O29" s="8"/>
    </row>
    <row r="30" spans="1:15" x14ac:dyDescent="0.3">
      <c r="A30" s="1102"/>
      <c r="B30" s="97" t="s">
        <v>916</v>
      </c>
      <c r="C30" s="69"/>
      <c r="D30" s="1149"/>
      <c r="E30" s="190">
        <v>6.0000000000000001E-3</v>
      </c>
      <c r="F30"/>
      <c r="K30" s="3"/>
      <c r="O30" s="8"/>
    </row>
    <row r="31" spans="1:15" x14ac:dyDescent="0.3">
      <c r="A31" s="1102"/>
      <c r="B31" s="97" t="s">
        <v>917</v>
      </c>
      <c r="C31" s="69"/>
      <c r="D31" s="1149"/>
      <c r="E31" s="190">
        <v>2.9000000000000001E-2</v>
      </c>
      <c r="F31"/>
      <c r="K31" s="3"/>
      <c r="O31" s="8"/>
    </row>
    <row r="32" spans="1:15" x14ac:dyDescent="0.3">
      <c r="A32" s="1102"/>
      <c r="B32" s="97" t="s">
        <v>918</v>
      </c>
      <c r="C32" s="69"/>
      <c r="D32" s="1149"/>
      <c r="E32" s="190">
        <v>4.0000000000000001E-3</v>
      </c>
      <c r="F32"/>
      <c r="K32" s="3"/>
      <c r="O32" s="8"/>
    </row>
    <row r="33" spans="1:15" x14ac:dyDescent="0.3">
      <c r="A33" s="1102"/>
      <c r="B33" s="432" t="s">
        <v>919</v>
      </c>
      <c r="C33" s="69"/>
      <c r="D33" s="1155" t="s">
        <v>60</v>
      </c>
      <c r="E33" s="431">
        <v>0.114</v>
      </c>
      <c r="F33"/>
      <c r="K33" s="3"/>
      <c r="O33" s="8"/>
    </row>
    <row r="34" spans="1:15" x14ac:dyDescent="0.3">
      <c r="A34" s="1102"/>
      <c r="B34" s="432" t="s">
        <v>920</v>
      </c>
      <c r="C34" s="69"/>
      <c r="D34" s="1155"/>
      <c r="E34" s="431">
        <v>5.0710000000000002E-4</v>
      </c>
      <c r="F34"/>
      <c r="K34" s="3"/>
      <c r="O34" s="8"/>
    </row>
    <row r="35" spans="1:15" x14ac:dyDescent="0.3">
      <c r="A35" s="1102"/>
      <c r="B35" s="432" t="s">
        <v>921</v>
      </c>
      <c r="C35" s="69"/>
      <c r="D35" s="1155"/>
      <c r="E35" s="431">
        <v>3.0000000000000001E-3</v>
      </c>
      <c r="F35"/>
      <c r="K35" s="3"/>
      <c r="O35" s="8"/>
    </row>
    <row r="36" spans="1:15" x14ac:dyDescent="0.3">
      <c r="A36" s="1102"/>
      <c r="B36" s="171" t="s">
        <v>922</v>
      </c>
      <c r="C36" s="69"/>
      <c r="D36" s="1098" t="s">
        <v>244</v>
      </c>
      <c r="E36" s="170">
        <v>1E-3</v>
      </c>
      <c r="F36"/>
      <c r="K36" s="3"/>
      <c r="O36" s="8"/>
    </row>
    <row r="37" spans="1:15" x14ac:dyDescent="0.3">
      <c r="A37" s="1102"/>
      <c r="B37" s="171" t="s">
        <v>923</v>
      </c>
      <c r="C37" s="69"/>
      <c r="D37" s="1098"/>
      <c r="E37" s="417">
        <v>5.04E-4</v>
      </c>
      <c r="F37"/>
      <c r="K37" s="3"/>
      <c r="O37" s="8"/>
    </row>
    <row r="38" spans="1:15" x14ac:dyDescent="0.3">
      <c r="A38" s="1102"/>
      <c r="B38" s="171" t="s">
        <v>924</v>
      </c>
      <c r="C38" s="69"/>
      <c r="D38" s="1098"/>
      <c r="E38" s="170">
        <v>7.0000000000000001E-3</v>
      </c>
      <c r="F38"/>
      <c r="K38" s="3"/>
      <c r="O38" s="8"/>
    </row>
    <row r="39" spans="1:15" x14ac:dyDescent="0.3">
      <c r="A39" s="1102"/>
      <c r="B39" s="171" t="s">
        <v>925</v>
      </c>
      <c r="C39" s="69"/>
      <c r="D39" s="1098"/>
      <c r="E39" s="417">
        <v>1E-3</v>
      </c>
      <c r="F39"/>
      <c r="K39" s="3"/>
      <c r="O39" s="8"/>
    </row>
    <row r="40" spans="1:15" x14ac:dyDescent="0.3">
      <c r="A40" s="1102"/>
      <c r="B40" s="171" t="s">
        <v>926</v>
      </c>
      <c r="C40" s="69"/>
      <c r="D40" s="1098"/>
      <c r="E40" s="417">
        <v>5.5000000000000003E-4</v>
      </c>
      <c r="F40"/>
      <c r="K40" s="3"/>
      <c r="O40" s="8"/>
    </row>
    <row r="41" spans="1:15" x14ac:dyDescent="0.3">
      <c r="A41" s="1102"/>
      <c r="B41" s="171" t="s">
        <v>927</v>
      </c>
      <c r="C41" s="69"/>
      <c r="D41" s="1098"/>
      <c r="E41" s="417">
        <v>2E-3</v>
      </c>
      <c r="F41"/>
      <c r="K41" s="3"/>
      <c r="O41" s="8"/>
    </row>
    <row r="42" spans="1:15" x14ac:dyDescent="0.3">
      <c r="A42" s="1102"/>
      <c r="B42" s="171" t="s">
        <v>928</v>
      </c>
      <c r="C42" s="69"/>
      <c r="D42" s="1098"/>
      <c r="E42" s="417">
        <v>6.0000000000000001E-3</v>
      </c>
      <c r="F42"/>
      <c r="K42" s="3"/>
      <c r="O42" s="8"/>
    </row>
    <row r="43" spans="1:15" x14ac:dyDescent="0.3">
      <c r="A43" s="1102"/>
      <c r="B43" s="193" t="s">
        <v>929</v>
      </c>
      <c r="C43" s="3"/>
      <c r="D43" s="1096" t="s">
        <v>253</v>
      </c>
      <c r="E43" s="173">
        <v>2E-3</v>
      </c>
      <c r="F43"/>
      <c r="O43" s="8"/>
    </row>
    <row r="44" spans="1:15" x14ac:dyDescent="0.3">
      <c r="A44" s="1102"/>
      <c r="B44" s="193" t="s">
        <v>930</v>
      </c>
      <c r="C44" s="3"/>
      <c r="D44" s="1096"/>
      <c r="E44" s="173">
        <v>1.4E-2</v>
      </c>
      <c r="F44"/>
      <c r="O44" s="8"/>
    </row>
    <row r="45" spans="1:15" x14ac:dyDescent="0.3">
      <c r="A45" s="1102"/>
      <c r="B45" s="193" t="s">
        <v>931</v>
      </c>
      <c r="C45" s="3"/>
      <c r="D45" s="1096"/>
      <c r="E45" s="173">
        <v>3.2000000000000001E-2</v>
      </c>
      <c r="F45"/>
      <c r="O45" s="8"/>
    </row>
    <row r="46" spans="1:15" x14ac:dyDescent="0.3">
      <c r="A46" s="1102"/>
      <c r="B46" s="193" t="s">
        <v>932</v>
      </c>
      <c r="C46" s="3"/>
      <c r="D46" s="1096"/>
      <c r="E46" s="173">
        <v>3.0000000000000001E-3</v>
      </c>
      <c r="F46"/>
      <c r="O46" s="8"/>
    </row>
    <row r="47" spans="1:15" x14ac:dyDescent="0.3">
      <c r="A47" s="1102"/>
      <c r="B47" s="193" t="s">
        <v>933</v>
      </c>
      <c r="C47" s="3"/>
      <c r="D47" s="1096"/>
      <c r="E47" s="173">
        <v>3.5000000000000003E-2</v>
      </c>
      <c r="F47"/>
      <c r="O47" s="8"/>
    </row>
    <row r="48" spans="1:15" x14ac:dyDescent="0.3">
      <c r="A48" s="1102"/>
      <c r="B48" s="193" t="s">
        <v>934</v>
      </c>
      <c r="C48" s="3"/>
      <c r="D48" s="1096"/>
      <c r="E48" s="415">
        <v>2.7700000000000001E-4</v>
      </c>
      <c r="F48"/>
      <c r="O48" s="8"/>
    </row>
    <row r="49" spans="1:15" x14ac:dyDescent="0.3">
      <c r="A49" s="1102"/>
      <c r="B49" s="193" t="s">
        <v>935</v>
      </c>
      <c r="C49" s="3"/>
      <c r="D49" s="1096"/>
      <c r="E49" s="173">
        <v>2.1000000000000001E-2</v>
      </c>
      <c r="F49"/>
      <c r="O49" s="8"/>
    </row>
    <row r="50" spans="1:15" x14ac:dyDescent="0.3">
      <c r="A50" s="1102"/>
      <c r="B50" s="193" t="s">
        <v>936</v>
      </c>
      <c r="C50" s="3"/>
      <c r="D50" s="1096"/>
      <c r="E50" s="415">
        <v>3.0000000000000001E-3</v>
      </c>
      <c r="F50"/>
      <c r="O50" s="8"/>
    </row>
    <row r="51" spans="1:15" x14ac:dyDescent="0.3">
      <c r="A51" s="1102"/>
      <c r="B51" s="193" t="s">
        <v>937</v>
      </c>
      <c r="C51" s="3"/>
      <c r="D51" s="1096"/>
      <c r="E51" s="415">
        <v>7.0000000000000001E-3</v>
      </c>
      <c r="F51"/>
      <c r="O51" s="8"/>
    </row>
    <row r="52" spans="1:15" x14ac:dyDescent="0.3">
      <c r="A52" s="1102"/>
      <c r="B52" s="193" t="s">
        <v>938</v>
      </c>
      <c r="C52" s="3"/>
      <c r="D52" s="1096"/>
      <c r="E52" s="173">
        <v>8.0000000000000002E-3</v>
      </c>
      <c r="F52"/>
      <c r="O52" s="8"/>
    </row>
    <row r="53" spans="1:15" x14ac:dyDescent="0.3">
      <c r="A53" s="1102"/>
      <c r="B53" s="193" t="s">
        <v>939</v>
      </c>
      <c r="C53" s="3"/>
      <c r="D53" s="1096"/>
      <c r="E53" s="173">
        <v>7.0000000000000001E-3</v>
      </c>
      <c r="F53"/>
      <c r="O53" s="8"/>
    </row>
    <row r="54" spans="1:15" x14ac:dyDescent="0.3">
      <c r="A54" s="1102"/>
      <c r="B54" s="193" t="s">
        <v>940</v>
      </c>
      <c r="C54" s="3"/>
      <c r="D54" s="1096"/>
      <c r="E54" s="173">
        <v>1.7999999999999999E-2</v>
      </c>
      <c r="F54"/>
      <c r="O54" s="8"/>
    </row>
    <row r="55" spans="1:15" x14ac:dyDescent="0.3">
      <c r="A55" s="1102"/>
      <c r="B55" s="193" t="s">
        <v>941</v>
      </c>
      <c r="C55" s="3"/>
      <c r="D55" s="1096"/>
      <c r="E55" s="415">
        <v>8.9999999999999993E-3</v>
      </c>
      <c r="F55"/>
      <c r="O55" s="8"/>
    </row>
    <row r="56" spans="1:15" x14ac:dyDescent="0.3">
      <c r="A56" s="1102"/>
      <c r="B56" s="193" t="s">
        <v>942</v>
      </c>
      <c r="C56" s="3"/>
      <c r="D56" s="1096"/>
      <c r="E56" s="173">
        <v>0.01</v>
      </c>
      <c r="F56"/>
      <c r="O56" s="8"/>
    </row>
    <row r="57" spans="1:15" x14ac:dyDescent="0.3">
      <c r="A57" s="1102"/>
      <c r="B57" s="193" t="s">
        <v>943</v>
      </c>
      <c r="C57" s="3"/>
      <c r="D57" s="1096"/>
      <c r="E57" s="173">
        <v>3.5999999999999997E-2</v>
      </c>
      <c r="F57"/>
      <c r="O57" s="8"/>
    </row>
    <row r="58" spans="1:15" x14ac:dyDescent="0.3">
      <c r="A58" s="1102"/>
      <c r="B58" s="193" t="s">
        <v>944</v>
      </c>
      <c r="C58" s="3"/>
      <c r="D58" s="1096"/>
      <c r="E58" s="173">
        <v>5.0000000000000001E-3</v>
      </c>
      <c r="F58"/>
      <c r="O58" s="8"/>
    </row>
    <row r="59" spans="1:15" x14ac:dyDescent="0.3">
      <c r="A59" s="1102"/>
      <c r="B59" s="193" t="s">
        <v>945</v>
      </c>
      <c r="C59" s="3"/>
      <c r="D59" s="1096"/>
      <c r="E59" s="173">
        <v>2E-3</v>
      </c>
      <c r="F59"/>
      <c r="O59" s="8"/>
    </row>
    <row r="60" spans="1:15" ht="15" thickBot="1" x14ac:dyDescent="0.35">
      <c r="A60" s="1102"/>
      <c r="B60" s="193" t="s">
        <v>946</v>
      </c>
      <c r="C60" s="3"/>
      <c r="D60" s="1096"/>
      <c r="E60" s="173">
        <v>4.0000000000000001E-3</v>
      </c>
      <c r="F60" s="9"/>
      <c r="G60" s="9"/>
      <c r="H60" s="9"/>
      <c r="I60" s="9"/>
      <c r="J60" s="9"/>
      <c r="O60" s="8"/>
    </row>
    <row r="61" spans="1:15" x14ac:dyDescent="0.3">
      <c r="A61" s="1102"/>
      <c r="B61" s="193" t="s">
        <v>947</v>
      </c>
      <c r="C61" s="3"/>
      <c r="D61" s="1096"/>
      <c r="E61" s="415">
        <v>4.4040000000000003E-4</v>
      </c>
      <c r="F61"/>
      <c r="O61" s="8"/>
    </row>
    <row r="62" spans="1:15" x14ac:dyDescent="0.3">
      <c r="A62" s="1102"/>
      <c r="B62" s="193" t="s">
        <v>834</v>
      </c>
      <c r="C62" s="3"/>
      <c r="D62" s="1096"/>
      <c r="E62" s="173">
        <v>6.0000000000000001E-3</v>
      </c>
      <c r="F62"/>
      <c r="O62" s="8"/>
    </row>
    <row r="63" spans="1:15" x14ac:dyDescent="0.3">
      <c r="A63" s="1102"/>
      <c r="B63" s="193" t="s">
        <v>948</v>
      </c>
      <c r="C63" s="3"/>
      <c r="D63" s="1096"/>
      <c r="E63" s="415">
        <v>7.0350000000000002E-4</v>
      </c>
      <c r="F63"/>
      <c r="O63" s="8"/>
    </row>
    <row r="64" spans="1:15" x14ac:dyDescent="0.3">
      <c r="A64" s="1102"/>
      <c r="B64" s="193" t="s">
        <v>949</v>
      </c>
      <c r="C64" s="3"/>
      <c r="D64" s="1096"/>
      <c r="E64" s="173">
        <v>3.0000000000000001E-3</v>
      </c>
      <c r="F64"/>
      <c r="O64" s="8"/>
    </row>
    <row r="65" spans="1:15" x14ac:dyDescent="0.3">
      <c r="A65" s="1102"/>
      <c r="B65" s="193" t="s">
        <v>950</v>
      </c>
      <c r="C65" s="3"/>
      <c r="D65" s="1096"/>
      <c r="E65" s="173">
        <v>3.0000000000000001E-3</v>
      </c>
      <c r="F65"/>
      <c r="O65" s="8"/>
    </row>
    <row r="66" spans="1:15" x14ac:dyDescent="0.3">
      <c r="A66" s="1102"/>
      <c r="B66" s="193" t="s">
        <v>951</v>
      </c>
      <c r="C66" s="3"/>
      <c r="D66" s="1096"/>
      <c r="E66" s="173">
        <v>0.03</v>
      </c>
      <c r="F66"/>
      <c r="O66" s="8"/>
    </row>
    <row r="67" spans="1:15" x14ac:dyDescent="0.3">
      <c r="A67" s="1102"/>
      <c r="B67" s="193" t="s">
        <v>952</v>
      </c>
      <c r="C67" s="3"/>
      <c r="D67" s="1096"/>
      <c r="E67" s="173">
        <v>2E-3</v>
      </c>
      <c r="F67"/>
      <c r="O67" s="8"/>
    </row>
    <row r="68" spans="1:15" x14ac:dyDescent="0.3">
      <c r="A68" s="1102"/>
      <c r="B68" s="193" t="s">
        <v>953</v>
      </c>
      <c r="C68" s="3"/>
      <c r="D68" s="1096"/>
      <c r="E68" s="415">
        <v>2E-3</v>
      </c>
      <c r="F68"/>
      <c r="O68" s="8"/>
    </row>
    <row r="69" spans="1:15" x14ac:dyDescent="0.3">
      <c r="A69" s="1102"/>
      <c r="B69" s="193" t="s">
        <v>954</v>
      </c>
      <c r="C69" s="3"/>
      <c r="D69" s="1096"/>
      <c r="E69" s="415">
        <v>2.5569999999999998E-4</v>
      </c>
      <c r="F69"/>
      <c r="O69" s="8"/>
    </row>
    <row r="70" spans="1:15" x14ac:dyDescent="0.3">
      <c r="A70" s="1102"/>
      <c r="B70" s="193" t="s">
        <v>955</v>
      </c>
      <c r="C70" s="3"/>
      <c r="D70" s="1096"/>
      <c r="E70" s="173">
        <v>3.0000000000000001E-3</v>
      </c>
      <c r="F70"/>
      <c r="O70" s="8"/>
    </row>
    <row r="71" spans="1:15" x14ac:dyDescent="0.3">
      <c r="A71" s="1102"/>
      <c r="B71" s="193" t="s">
        <v>956</v>
      </c>
      <c r="C71" s="3"/>
      <c r="D71" s="1096"/>
      <c r="E71" s="173">
        <v>0.443</v>
      </c>
      <c r="F71"/>
      <c r="O71" s="8"/>
    </row>
    <row r="72" spans="1:15" x14ac:dyDescent="0.3">
      <c r="A72" s="1102"/>
      <c r="B72" s="419" t="s">
        <v>957</v>
      </c>
      <c r="C72" s="3"/>
      <c r="D72" s="1170" t="s">
        <v>265</v>
      </c>
      <c r="E72" s="420">
        <v>0.01</v>
      </c>
      <c r="F72"/>
      <c r="O72" s="8"/>
    </row>
    <row r="73" spans="1:15" x14ac:dyDescent="0.3">
      <c r="A73" s="1102"/>
      <c r="B73" s="419" t="s">
        <v>958</v>
      </c>
      <c r="C73" s="3"/>
      <c r="D73" s="1170"/>
      <c r="E73" s="420">
        <v>6.0000000000000001E-3</v>
      </c>
      <c r="F73"/>
      <c r="O73" s="8"/>
    </row>
    <row r="74" spans="1:15" x14ac:dyDescent="0.3">
      <c r="A74" s="1102"/>
      <c r="B74" s="419" t="s">
        <v>959</v>
      </c>
      <c r="C74" s="3"/>
      <c r="D74" s="1170"/>
      <c r="E74" s="421">
        <v>1.0999999999999999E-2</v>
      </c>
      <c r="F74"/>
      <c r="O74" s="8"/>
    </row>
    <row r="75" spans="1:15" x14ac:dyDescent="0.3">
      <c r="A75" s="1102"/>
      <c r="B75" s="88" t="s">
        <v>960</v>
      </c>
      <c r="C75" s="3"/>
      <c r="D75" s="1146" t="s">
        <v>262</v>
      </c>
      <c r="E75" s="79">
        <v>3.0000000000000001E-3</v>
      </c>
      <c r="F75"/>
      <c r="O75" s="8"/>
    </row>
    <row r="76" spans="1:15" x14ac:dyDescent="0.3">
      <c r="A76" s="1102"/>
      <c r="B76" s="88" t="s">
        <v>961</v>
      </c>
      <c r="C76" s="3"/>
      <c r="D76" s="1146"/>
      <c r="E76" s="425">
        <v>7.0000000000000001E-3</v>
      </c>
      <c r="F76"/>
      <c r="O76" s="8"/>
    </row>
    <row r="77" spans="1:15" x14ac:dyDescent="0.3">
      <c r="A77" s="1102"/>
      <c r="B77" s="112"/>
      <c r="C77" s="3"/>
      <c r="D77" s="119"/>
      <c r="E77" s="119"/>
      <c r="F77"/>
      <c r="O77" s="8"/>
    </row>
    <row r="78" spans="1:15" ht="15" thickBot="1" x14ac:dyDescent="0.35">
      <c r="A78" s="1103"/>
      <c r="B78" s="89"/>
      <c r="C78" s="9"/>
      <c r="D78" s="91"/>
      <c r="E78" s="91"/>
      <c r="F78"/>
      <c r="K78" s="9"/>
      <c r="L78" s="9"/>
      <c r="M78" s="9"/>
      <c r="N78" s="9"/>
      <c r="O78" s="10"/>
    </row>
    <row r="79" spans="1:15" x14ac:dyDescent="0.3">
      <c r="A79"/>
      <c r="C79"/>
      <c r="E79"/>
      <c r="F79"/>
    </row>
    <row r="80" spans="1:15" x14ac:dyDescent="0.3">
      <c r="A80"/>
      <c r="C80"/>
      <c r="E80"/>
      <c r="F80"/>
    </row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ht="15" customHeigh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ht="15" customHeight="1" x14ac:dyDescent="0.3"/>
    <row r="121" customFormat="1" x14ac:dyDescent="0.3"/>
    <row r="122" customFormat="1" x14ac:dyDescent="0.3"/>
    <row r="123" customFormat="1" x14ac:dyDescent="0.3"/>
    <row r="124" customFormat="1" ht="15" customHeight="1" x14ac:dyDescent="0.3"/>
    <row r="125" customFormat="1" x14ac:dyDescent="0.3"/>
    <row r="126" customFormat="1" x14ac:dyDescent="0.3"/>
    <row r="127" customFormat="1" ht="15" customHeigh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customFormat="1" x14ac:dyDescent="0.3"/>
    <row r="162" customFormat="1" ht="15" customHeight="1" x14ac:dyDescent="0.3"/>
    <row r="163" customFormat="1" x14ac:dyDescent="0.3"/>
    <row r="164" customFormat="1" x14ac:dyDescent="0.3"/>
    <row r="165" customFormat="1" ht="15" customHeight="1" x14ac:dyDescent="0.3"/>
    <row r="166" customFormat="1" x14ac:dyDescent="0.3"/>
    <row r="167" customFormat="1" x14ac:dyDescent="0.3"/>
    <row r="168" customFormat="1" x14ac:dyDescent="0.3"/>
    <row r="169" customFormat="1" x14ac:dyDescent="0.3"/>
    <row r="170" customFormat="1" ht="15" customHeight="1" x14ac:dyDescent="0.3"/>
    <row r="171" customFormat="1" x14ac:dyDescent="0.3"/>
    <row r="172" customFormat="1" x14ac:dyDescent="0.3"/>
    <row r="173" customFormat="1" x14ac:dyDescent="0.3"/>
    <row r="174" customFormat="1" x14ac:dyDescent="0.3"/>
    <row r="175" customFormat="1" x14ac:dyDescent="0.3"/>
    <row r="176" customFormat="1" x14ac:dyDescent="0.3"/>
    <row r="177" customFormat="1" x14ac:dyDescent="0.3"/>
    <row r="178" customFormat="1" x14ac:dyDescent="0.3"/>
    <row r="179" customFormat="1" x14ac:dyDescent="0.3"/>
    <row r="180" customFormat="1" x14ac:dyDescent="0.3"/>
    <row r="181" customFormat="1" x14ac:dyDescent="0.3"/>
    <row r="182" customFormat="1" x14ac:dyDescent="0.3"/>
    <row r="183" customFormat="1" x14ac:dyDescent="0.3"/>
    <row r="184" customFormat="1" x14ac:dyDescent="0.3"/>
    <row r="185" customFormat="1" x14ac:dyDescent="0.3"/>
    <row r="186" customFormat="1" x14ac:dyDescent="0.3"/>
    <row r="187" customFormat="1" x14ac:dyDescent="0.3"/>
    <row r="188" customFormat="1" x14ac:dyDescent="0.3"/>
    <row r="189" customFormat="1" x14ac:dyDescent="0.3"/>
    <row r="190" customFormat="1" x14ac:dyDescent="0.3"/>
    <row r="191" customFormat="1" x14ac:dyDescent="0.3"/>
    <row r="192" customFormat="1" x14ac:dyDescent="0.3"/>
    <row r="193" spans="1:6" customFormat="1" ht="15" customHeight="1" x14ac:dyDescent="0.3"/>
    <row r="194" spans="1:6" customFormat="1" x14ac:dyDescent="0.3"/>
    <row r="195" spans="1:6" customFormat="1" x14ac:dyDescent="0.3"/>
    <row r="196" spans="1:6" customFormat="1" x14ac:dyDescent="0.3"/>
    <row r="197" spans="1:6" customFormat="1" x14ac:dyDescent="0.3"/>
    <row r="198" spans="1:6" customFormat="1" x14ac:dyDescent="0.3"/>
    <row r="199" spans="1:6" customFormat="1" x14ac:dyDescent="0.3"/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  <row r="238" spans="1:6" x14ac:dyDescent="0.3">
      <c r="A238"/>
      <c r="C238" s="3"/>
      <c r="E238" s="1"/>
      <c r="F238"/>
    </row>
    <row r="239" spans="1:6" x14ac:dyDescent="0.3">
      <c r="A239"/>
      <c r="C239" s="3"/>
      <c r="E239" s="1"/>
      <c r="F239"/>
    </row>
    <row r="240" spans="1:6" x14ac:dyDescent="0.3">
      <c r="A240"/>
      <c r="C240" s="3"/>
      <c r="E240" s="1"/>
      <c r="F240"/>
    </row>
    <row r="241" spans="1:6" x14ac:dyDescent="0.3">
      <c r="A241"/>
      <c r="C241" s="3"/>
      <c r="E241" s="1"/>
      <c r="F241"/>
    </row>
    <row r="242" spans="1:6" x14ac:dyDescent="0.3">
      <c r="A242"/>
      <c r="C242" s="3"/>
      <c r="E242" s="1"/>
      <c r="F242"/>
    </row>
    <row r="243" spans="1:6" x14ac:dyDescent="0.3">
      <c r="A243"/>
      <c r="C243" s="3"/>
      <c r="E243" s="1"/>
      <c r="F243"/>
    </row>
    <row r="244" spans="1:6" x14ac:dyDescent="0.3">
      <c r="A244"/>
      <c r="C244" s="3"/>
      <c r="E244" s="1"/>
      <c r="F244"/>
    </row>
    <row r="245" spans="1:6" x14ac:dyDescent="0.3">
      <c r="A245"/>
      <c r="C245" s="3"/>
      <c r="E245" s="1"/>
      <c r="F245"/>
    </row>
    <row r="246" spans="1:6" x14ac:dyDescent="0.3">
      <c r="A246"/>
      <c r="C246" s="3"/>
      <c r="E246" s="1"/>
      <c r="F246"/>
    </row>
    <row r="247" spans="1:6" x14ac:dyDescent="0.3">
      <c r="A247"/>
      <c r="C247" s="3"/>
      <c r="E247" s="1"/>
      <c r="F247"/>
    </row>
    <row r="248" spans="1:6" x14ac:dyDescent="0.3">
      <c r="A248"/>
      <c r="C248" s="3"/>
      <c r="E248" s="1"/>
      <c r="F248"/>
    </row>
    <row r="249" spans="1:6" x14ac:dyDescent="0.3">
      <c r="A249"/>
      <c r="C249" s="3"/>
      <c r="E249" s="1"/>
      <c r="F249"/>
    </row>
    <row r="250" spans="1:6" x14ac:dyDescent="0.3">
      <c r="A250"/>
      <c r="C250" s="3"/>
      <c r="E250" s="1"/>
      <c r="F250"/>
    </row>
    <row r="251" spans="1:6" x14ac:dyDescent="0.3">
      <c r="A251"/>
      <c r="C251" s="3"/>
      <c r="E251" s="1"/>
      <c r="F251"/>
    </row>
    <row r="252" spans="1:6" x14ac:dyDescent="0.3">
      <c r="A252"/>
      <c r="C252" s="3"/>
      <c r="E252" s="1"/>
      <c r="F252"/>
    </row>
    <row r="253" spans="1:6" x14ac:dyDescent="0.3">
      <c r="A253"/>
      <c r="C253" s="3"/>
      <c r="E253" s="1"/>
      <c r="F253"/>
    </row>
    <row r="254" spans="1:6" x14ac:dyDescent="0.3">
      <c r="A254"/>
      <c r="C254" s="3"/>
      <c r="E254" s="1"/>
      <c r="F254"/>
    </row>
    <row r="255" spans="1:6" x14ac:dyDescent="0.3">
      <c r="A255"/>
      <c r="C255" s="3"/>
      <c r="E255" s="1"/>
      <c r="F255"/>
    </row>
    <row r="256" spans="1:6" x14ac:dyDescent="0.3">
      <c r="A256"/>
      <c r="C256" s="3"/>
      <c r="E256" s="1"/>
      <c r="F256"/>
    </row>
    <row r="257" spans="1:6" ht="15" customHeight="1" x14ac:dyDescent="0.3">
      <c r="A257"/>
      <c r="C257" s="3"/>
      <c r="E257" s="1"/>
      <c r="F257"/>
    </row>
    <row r="258" spans="1:6" x14ac:dyDescent="0.3">
      <c r="A258"/>
      <c r="C258" s="3"/>
      <c r="E258" s="1"/>
      <c r="F258"/>
    </row>
    <row r="259" spans="1:6" x14ac:dyDescent="0.3">
      <c r="A259"/>
      <c r="C259" s="3"/>
      <c r="E259" s="1"/>
      <c r="F259"/>
    </row>
    <row r="260" spans="1:6" x14ac:dyDescent="0.3">
      <c r="A260"/>
      <c r="C260" s="3"/>
      <c r="E260" s="1"/>
      <c r="F260"/>
    </row>
    <row r="261" spans="1:6" x14ac:dyDescent="0.3">
      <c r="A261"/>
      <c r="C261" s="3"/>
      <c r="E261" s="1"/>
      <c r="F261"/>
    </row>
    <row r="262" spans="1:6" x14ac:dyDescent="0.3">
      <c r="A262"/>
      <c r="C262" s="3"/>
      <c r="E262" s="1"/>
      <c r="F262"/>
    </row>
    <row r="263" spans="1:6" x14ac:dyDescent="0.3">
      <c r="A263"/>
      <c r="C263" s="3"/>
      <c r="E263" s="1"/>
      <c r="F263"/>
    </row>
    <row r="264" spans="1:6" x14ac:dyDescent="0.3">
      <c r="A264"/>
      <c r="C264" s="3"/>
      <c r="E264" s="1"/>
      <c r="F264"/>
    </row>
    <row r="265" spans="1:6" x14ac:dyDescent="0.3">
      <c r="A265"/>
      <c r="C265" s="3"/>
      <c r="E265" s="1"/>
      <c r="F265"/>
    </row>
    <row r="266" spans="1:6" x14ac:dyDescent="0.3">
      <c r="A266"/>
      <c r="C266" s="3"/>
      <c r="E266" s="1"/>
      <c r="F266"/>
    </row>
    <row r="267" spans="1:6" x14ac:dyDescent="0.3">
      <c r="A267"/>
      <c r="C267" s="3"/>
      <c r="E267" s="1"/>
      <c r="F267"/>
    </row>
    <row r="268" spans="1:6" x14ac:dyDescent="0.3">
      <c r="A268"/>
      <c r="C268" s="3"/>
      <c r="E268" s="1"/>
      <c r="F268"/>
    </row>
    <row r="269" spans="1:6" x14ac:dyDescent="0.3">
      <c r="A269"/>
      <c r="C269" s="3"/>
      <c r="E269" s="1"/>
      <c r="F269"/>
    </row>
    <row r="270" spans="1:6" x14ac:dyDescent="0.3">
      <c r="A270"/>
      <c r="C270" s="3"/>
      <c r="E270" s="1"/>
    </row>
    <row r="271" spans="1:6" x14ac:dyDescent="0.3">
      <c r="A271"/>
      <c r="C271" s="3"/>
      <c r="E271" s="1"/>
    </row>
    <row r="272" spans="1:6" x14ac:dyDescent="0.3">
      <c r="A272"/>
      <c r="C272" s="3"/>
      <c r="E272" s="1"/>
    </row>
    <row r="273" spans="1:5" ht="15" customHeight="1" x14ac:dyDescent="0.3">
      <c r="A273"/>
      <c r="C273" s="3"/>
      <c r="E273" s="1"/>
    </row>
    <row r="274" spans="1:5" x14ac:dyDescent="0.3">
      <c r="A274"/>
      <c r="C274" s="3"/>
      <c r="E274" s="1"/>
    </row>
    <row r="275" spans="1:5" x14ac:dyDescent="0.3">
      <c r="A275"/>
      <c r="C275" s="3"/>
      <c r="E275" s="1"/>
    </row>
    <row r="276" spans="1:5" x14ac:dyDescent="0.3">
      <c r="A276"/>
      <c r="C276" s="3"/>
      <c r="E276" s="1"/>
    </row>
    <row r="277" spans="1:5" x14ac:dyDescent="0.3">
      <c r="A277"/>
      <c r="C277" s="3"/>
      <c r="E277" s="1"/>
    </row>
    <row r="278" spans="1:5" x14ac:dyDescent="0.3">
      <c r="A278"/>
      <c r="C278" s="3"/>
      <c r="E278" s="1"/>
    </row>
    <row r="279" spans="1:5" x14ac:dyDescent="0.3">
      <c r="A279"/>
      <c r="C279" s="3"/>
      <c r="E279" s="1"/>
    </row>
    <row r="280" spans="1:5" x14ac:dyDescent="0.3">
      <c r="A280"/>
      <c r="C280" s="3"/>
      <c r="E280" s="1"/>
    </row>
    <row r="281" spans="1:5" x14ac:dyDescent="0.3">
      <c r="A281"/>
      <c r="C281" s="3"/>
      <c r="E281" s="1"/>
    </row>
    <row r="282" spans="1:5" x14ac:dyDescent="0.3">
      <c r="A282"/>
      <c r="C282" s="3"/>
      <c r="E282" s="1"/>
    </row>
    <row r="283" spans="1:5" x14ac:dyDescent="0.3">
      <c r="A283"/>
      <c r="C283" s="3"/>
      <c r="E283" s="1"/>
    </row>
    <row r="284" spans="1:5" x14ac:dyDescent="0.3">
      <c r="A284"/>
      <c r="C284" s="3"/>
      <c r="E284" s="1"/>
    </row>
    <row r="285" spans="1:5" x14ac:dyDescent="0.3">
      <c r="A285"/>
      <c r="C285" s="3"/>
      <c r="E285" s="1"/>
    </row>
    <row r="286" spans="1:5" x14ac:dyDescent="0.3">
      <c r="A286"/>
      <c r="C286" s="3"/>
      <c r="E286" s="1"/>
    </row>
    <row r="287" spans="1:5" x14ac:dyDescent="0.3">
      <c r="A287"/>
      <c r="C287" s="3"/>
      <c r="E287" s="1"/>
    </row>
  </sheetData>
  <mergeCells count="17">
    <mergeCell ref="A15:A78"/>
    <mergeCell ref="D16:D25"/>
    <mergeCell ref="D36:D42"/>
    <mergeCell ref="D75:D76"/>
    <mergeCell ref="A3:A13"/>
    <mergeCell ref="B3:B13"/>
    <mergeCell ref="D27:D32"/>
    <mergeCell ref="D33:D35"/>
    <mergeCell ref="D72:D74"/>
    <mergeCell ref="C3:C13"/>
    <mergeCell ref="M3:M13"/>
    <mergeCell ref="G1:J1"/>
    <mergeCell ref="N3:N13"/>
    <mergeCell ref="D43:D71"/>
    <mergeCell ref="O3:O13"/>
    <mergeCell ref="K3:K13"/>
    <mergeCell ref="L3:L13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Feuil2"/>
  <dimension ref="A1:R245"/>
  <sheetViews>
    <sheetView zoomScale="55" zoomScaleNormal="55" workbookViewId="0">
      <selection activeCell="G3" sqref="G3"/>
    </sheetView>
  </sheetViews>
  <sheetFormatPr baseColWidth="10" defaultColWidth="11.44140625" defaultRowHeight="14.4" x14ac:dyDescent="0.3"/>
  <cols>
    <col min="1" max="1" width="33.44140625" style="29" customWidth="1"/>
    <col min="2" max="2" width="66.33203125" bestFit="1" customWidth="1"/>
    <col min="3" max="3" width="25.44140625" style="3" customWidth="1"/>
    <col min="4" max="4" width="27.6640625" style="23" customWidth="1"/>
    <col min="5" max="5" width="30.6640625" bestFit="1" customWidth="1"/>
    <col min="6" max="6" width="13.44140625" style="3" bestFit="1" customWidth="1"/>
    <col min="7" max="7" width="34.44140625" style="1" bestFit="1" customWidth="1"/>
    <col min="8" max="8" width="33.109375" bestFit="1" customWidth="1"/>
    <col min="9" max="9" width="25" bestFit="1" customWidth="1"/>
    <col min="10" max="10" width="44" customWidth="1"/>
    <col min="11" max="11" width="39.88671875" bestFit="1" customWidth="1"/>
    <col min="12" max="12" width="19.33203125" bestFit="1" customWidth="1"/>
    <col min="13" max="13" width="12.44140625" bestFit="1" customWidth="1"/>
    <col min="14" max="14" width="32.88671875" bestFit="1" customWidth="1"/>
    <col min="15" max="15" width="10" bestFit="1" customWidth="1"/>
    <col min="16" max="16" width="45.109375" bestFit="1" customWidth="1"/>
    <col min="17" max="17" width="23.5546875" bestFit="1" customWidth="1"/>
    <col min="18" max="18" width="27.6640625" bestFit="1" customWidth="1"/>
  </cols>
  <sheetData>
    <row r="1" spans="1:18" x14ac:dyDescent="0.3">
      <c r="A1" s="27" t="s">
        <v>4</v>
      </c>
      <c r="B1" s="18" t="s">
        <v>5</v>
      </c>
      <c r="C1" s="18" t="s">
        <v>6</v>
      </c>
      <c r="D1" s="21" t="s">
        <v>7</v>
      </c>
      <c r="E1" s="18" t="s">
        <v>8</v>
      </c>
      <c r="F1" s="18" t="s">
        <v>9</v>
      </c>
      <c r="G1" s="18" t="s">
        <v>10</v>
      </c>
      <c r="H1" s="18" t="s">
        <v>11</v>
      </c>
      <c r="I1" s="18" t="s">
        <v>12</v>
      </c>
      <c r="J1" s="18" t="s">
        <v>13</v>
      </c>
      <c r="K1" s="659" t="s">
        <v>14</v>
      </c>
      <c r="L1" s="1004" t="s">
        <v>15</v>
      </c>
      <c r="M1" s="1005"/>
      <c r="N1" s="1005"/>
      <c r="O1" s="1006"/>
      <c r="P1" s="659" t="s">
        <v>16</v>
      </c>
      <c r="Q1" s="145" t="s">
        <v>17</v>
      </c>
      <c r="R1" s="143" t="s">
        <v>18</v>
      </c>
    </row>
    <row r="2" spans="1:18" ht="15" thickBot="1" x14ac:dyDescent="0.35">
      <c r="A2" s="146"/>
      <c r="B2" s="144" t="s">
        <v>19</v>
      </c>
      <c r="C2" s="30"/>
      <c r="D2" s="32"/>
      <c r="E2" s="30"/>
      <c r="F2" s="30"/>
      <c r="G2" s="30"/>
      <c r="H2" s="30"/>
      <c r="I2" s="30"/>
      <c r="J2" s="30"/>
      <c r="K2" s="660"/>
      <c r="L2" s="666" t="s">
        <v>20</v>
      </c>
      <c r="M2" s="667" t="s">
        <v>21</v>
      </c>
      <c r="N2" s="667" t="s">
        <v>22</v>
      </c>
      <c r="O2" s="668" t="s">
        <v>23</v>
      </c>
      <c r="P2" s="660"/>
      <c r="Q2" s="147"/>
      <c r="R2" s="142"/>
    </row>
    <row r="3" spans="1:18" ht="15" thickBot="1" x14ac:dyDescent="0.35">
      <c r="A3" s="28"/>
      <c r="B3" s="148" t="s">
        <v>24</v>
      </c>
      <c r="C3" s="118"/>
      <c r="D3" s="22"/>
      <c r="E3" s="19"/>
      <c r="F3" s="118"/>
      <c r="G3" s="26">
        <f>SUM(G5,G14,G28,G36,G44,G52,G60,G68,G76,G84,G92,G100,G108,G116,G124,G132,G140,G148,G156,G164,G172,G180,G188,G196,G204,G212,G220,G228,G237,G238,G240,G241)</f>
        <v>104.29971422</v>
      </c>
      <c r="H3" s="19"/>
      <c r="I3" s="19"/>
      <c r="J3" s="19"/>
      <c r="K3" s="19"/>
      <c r="L3" s="696"/>
      <c r="M3" s="669"/>
      <c r="N3" s="669"/>
      <c r="O3" s="697"/>
      <c r="P3" s="661"/>
      <c r="Q3" s="20"/>
    </row>
    <row r="4" spans="1:18" ht="15" customHeight="1" thickBot="1" x14ac:dyDescent="0.35">
      <c r="L4" s="607"/>
      <c r="M4" s="510"/>
      <c r="N4" s="510"/>
      <c r="O4" s="584"/>
    </row>
    <row r="5" spans="1:18" ht="15" customHeight="1" x14ac:dyDescent="0.3">
      <c r="A5" s="1051" t="s">
        <v>25</v>
      </c>
      <c r="B5" s="16" t="s">
        <v>26</v>
      </c>
      <c r="C5" s="1043"/>
      <c r="D5" s="24"/>
      <c r="E5" s="5"/>
      <c r="F5" s="2"/>
      <c r="G5" s="15">
        <f>SUM(COQUE!$E$4)</f>
        <v>9.4309999999999992</v>
      </c>
      <c r="H5" s="1007" t="s">
        <v>27</v>
      </c>
      <c r="I5" s="1007" t="s">
        <v>28</v>
      </c>
      <c r="J5" s="1022" t="s">
        <v>29</v>
      </c>
      <c r="K5" s="645"/>
      <c r="L5" s="670"/>
      <c r="M5" s="670"/>
      <c r="N5" s="670"/>
      <c r="O5" s="670"/>
      <c r="P5" s="1065">
        <v>176</v>
      </c>
      <c r="Q5" s="1007" t="s">
        <v>30</v>
      </c>
      <c r="R5" s="1059" t="s">
        <v>31</v>
      </c>
    </row>
    <row r="6" spans="1:18" ht="20.100000000000001" customHeight="1" x14ac:dyDescent="0.3">
      <c r="A6" s="1052"/>
      <c r="B6" s="7"/>
      <c r="C6" s="985"/>
      <c r="D6" s="23" t="s">
        <v>32</v>
      </c>
      <c r="E6" s="17" t="s">
        <v>33</v>
      </c>
      <c r="F6" s="985"/>
      <c r="H6" s="1008"/>
      <c r="I6" s="1008"/>
      <c r="J6" s="1023"/>
      <c r="K6" s="646" t="s">
        <v>34</v>
      </c>
      <c r="L6" s="671"/>
      <c r="M6" s="671"/>
      <c r="N6" s="671"/>
      <c r="O6" s="671"/>
      <c r="P6" s="1066"/>
      <c r="Q6" s="1008"/>
      <c r="R6" s="1060"/>
    </row>
    <row r="7" spans="1:18" x14ac:dyDescent="0.3">
      <c r="A7" s="1052"/>
      <c r="B7" s="1054" t="s">
        <v>35</v>
      </c>
      <c r="C7" s="985"/>
      <c r="E7" s="17" t="s">
        <v>36</v>
      </c>
      <c r="F7" s="985"/>
      <c r="H7" s="1008"/>
      <c r="I7" s="1008"/>
      <c r="J7" s="1023"/>
      <c r="K7" s="646"/>
      <c r="L7" s="671"/>
      <c r="M7" s="671"/>
      <c r="N7" s="671"/>
      <c r="O7" s="671"/>
      <c r="P7" s="1066"/>
      <c r="Q7" s="1008"/>
      <c r="R7" s="1060"/>
    </row>
    <row r="8" spans="1:18" x14ac:dyDescent="0.3">
      <c r="A8" s="1052"/>
      <c r="B8" s="1055"/>
      <c r="C8" s="985"/>
      <c r="H8" s="1008"/>
      <c r="I8" s="1008"/>
      <c r="J8" s="1023"/>
      <c r="K8" s="646"/>
      <c r="L8" s="671"/>
      <c r="M8" s="671"/>
      <c r="N8" s="671"/>
      <c r="O8" s="671"/>
      <c r="P8" s="1066"/>
      <c r="Q8" s="1008"/>
      <c r="R8" s="1060"/>
    </row>
    <row r="9" spans="1:18" x14ac:dyDescent="0.3">
      <c r="A9" s="1052"/>
      <c r="B9" s="1056" t="s">
        <v>37</v>
      </c>
      <c r="C9" s="985"/>
      <c r="D9" s="23" t="s">
        <v>38</v>
      </c>
      <c r="E9" s="17" t="s">
        <v>33</v>
      </c>
      <c r="F9" s="985"/>
      <c r="H9" s="1008"/>
      <c r="I9" s="1008"/>
      <c r="J9" s="1023"/>
      <c r="K9" s="646"/>
      <c r="L9" s="671"/>
      <c r="M9" s="671"/>
      <c r="N9" s="671"/>
      <c r="O9" s="671"/>
      <c r="P9" s="1066"/>
      <c r="Q9" s="1008"/>
      <c r="R9" s="1060"/>
    </row>
    <row r="10" spans="1:18" x14ac:dyDescent="0.3">
      <c r="A10" s="1052"/>
      <c r="B10" s="1057"/>
      <c r="C10" s="985"/>
      <c r="E10" s="17" t="s">
        <v>36</v>
      </c>
      <c r="F10" s="985"/>
      <c r="H10" s="1008"/>
      <c r="I10" s="1008"/>
      <c r="J10" s="1023"/>
      <c r="K10" s="646"/>
      <c r="L10" s="671"/>
      <c r="M10" s="671"/>
      <c r="N10" s="671"/>
      <c r="O10" s="671"/>
      <c r="P10" s="1066"/>
      <c r="Q10" s="1008"/>
      <c r="R10" s="1060"/>
    </row>
    <row r="11" spans="1:18" x14ac:dyDescent="0.3">
      <c r="A11" s="1052"/>
      <c r="B11" s="1058"/>
      <c r="C11" s="985"/>
      <c r="E11" s="17"/>
      <c r="H11" s="1008"/>
      <c r="I11" s="1008"/>
      <c r="J11" s="1023"/>
      <c r="K11" s="646"/>
      <c r="L11" s="671"/>
      <c r="M11" s="671"/>
      <c r="N11" s="671"/>
      <c r="O11" s="671"/>
      <c r="P11" s="1066"/>
      <c r="Q11" s="1008"/>
      <c r="R11" s="1060"/>
    </row>
    <row r="12" spans="1:18" ht="15" thickBot="1" x14ac:dyDescent="0.35">
      <c r="A12" s="1053"/>
      <c r="B12" s="4"/>
      <c r="C12" s="1044"/>
      <c r="D12" s="25"/>
      <c r="E12" s="9"/>
      <c r="F12" s="11"/>
      <c r="G12" s="115"/>
      <c r="H12" s="1009"/>
      <c r="I12" s="1009"/>
      <c r="J12" s="1024"/>
      <c r="K12" s="647"/>
      <c r="L12" s="672"/>
      <c r="M12" s="672"/>
      <c r="N12" s="672"/>
      <c r="O12" s="672"/>
      <c r="P12" s="1067"/>
      <c r="Q12" s="1009"/>
      <c r="R12" s="1061"/>
    </row>
    <row r="13" spans="1:18" ht="15" thickBot="1" x14ac:dyDescent="0.35">
      <c r="L13" s="607"/>
      <c r="M13" s="510"/>
      <c r="N13" s="510"/>
      <c r="O13" s="584"/>
    </row>
    <row r="14" spans="1:18" ht="15.75" customHeight="1" x14ac:dyDescent="0.3">
      <c r="A14" s="1037" t="s">
        <v>39</v>
      </c>
      <c r="B14" s="14" t="s">
        <v>40</v>
      </c>
      <c r="C14" s="1043"/>
      <c r="D14" s="24"/>
      <c r="E14" s="5"/>
      <c r="F14" s="2"/>
      <c r="G14" s="15">
        <f>SUM(FAUTEUIL!E3)</f>
        <v>23.346099999999993</v>
      </c>
      <c r="H14" s="1031" t="s">
        <v>41</v>
      </c>
      <c r="I14" s="1031" t="s">
        <v>42</v>
      </c>
      <c r="J14" s="1073" t="s">
        <v>43</v>
      </c>
      <c r="K14" s="651"/>
      <c r="L14" s="673"/>
      <c r="M14" s="673"/>
      <c r="N14" s="673"/>
      <c r="O14" s="673"/>
      <c r="P14" s="1068"/>
      <c r="Q14" s="1016" t="s">
        <v>44</v>
      </c>
    </row>
    <row r="15" spans="1:18" ht="15" customHeight="1" x14ac:dyDescent="0.3">
      <c r="A15" s="1038"/>
      <c r="B15" s="12"/>
      <c r="C15" s="985"/>
      <c r="H15" s="1032"/>
      <c r="I15" s="1032"/>
      <c r="J15" s="1074"/>
      <c r="K15" s="652"/>
      <c r="L15" s="674"/>
      <c r="M15" s="674"/>
      <c r="N15" s="674"/>
      <c r="O15" s="674"/>
      <c r="P15" s="1069"/>
      <c r="Q15" s="1017"/>
    </row>
    <row r="16" spans="1:18" ht="15" customHeight="1" x14ac:dyDescent="0.3">
      <c r="A16" s="1038"/>
      <c r="B16" s="12" t="s">
        <v>45</v>
      </c>
      <c r="C16" s="985"/>
      <c r="D16" s="23" t="s">
        <v>46</v>
      </c>
      <c r="E16" t="s">
        <v>47</v>
      </c>
      <c r="F16" s="1"/>
      <c r="H16" s="1032"/>
      <c r="I16" s="1032"/>
      <c r="J16" s="760" t="s">
        <v>48</v>
      </c>
      <c r="K16" s="149"/>
      <c r="L16" s="674"/>
      <c r="M16" s="674"/>
      <c r="N16" s="674"/>
      <c r="O16" s="674"/>
      <c r="P16" s="1069"/>
      <c r="Q16" s="1017"/>
    </row>
    <row r="17" spans="1:17" ht="15" customHeight="1" x14ac:dyDescent="0.3">
      <c r="A17" s="1038"/>
      <c r="B17" s="12"/>
      <c r="C17" s="985"/>
      <c r="F17" s="1"/>
      <c r="H17" s="1032"/>
      <c r="I17" s="1032"/>
      <c r="J17" s="757"/>
      <c r="K17" s="150"/>
      <c r="L17" s="674"/>
      <c r="M17" s="674"/>
      <c r="N17" s="674"/>
      <c r="O17" s="674"/>
      <c r="P17" s="1069"/>
      <c r="Q17" s="1017"/>
    </row>
    <row r="18" spans="1:17" x14ac:dyDescent="0.3">
      <c r="A18" s="1038"/>
      <c r="B18" s="12" t="s">
        <v>49</v>
      </c>
      <c r="C18" s="985"/>
      <c r="D18" s="23" t="s">
        <v>46</v>
      </c>
      <c r="E18" t="s">
        <v>50</v>
      </c>
      <c r="F18" s="1"/>
      <c r="H18" s="1032"/>
      <c r="I18" s="1032"/>
      <c r="J18" s="758"/>
      <c r="K18" s="151"/>
      <c r="L18" s="674"/>
      <c r="M18" s="674"/>
      <c r="N18" s="674"/>
      <c r="O18" s="674"/>
      <c r="P18" s="1069"/>
      <c r="Q18" s="1017"/>
    </row>
    <row r="19" spans="1:17" x14ac:dyDescent="0.3">
      <c r="A19" s="1038"/>
      <c r="B19" s="12"/>
      <c r="C19" s="985"/>
      <c r="F19" s="1"/>
      <c r="H19" s="1032"/>
      <c r="I19" s="1032"/>
      <c r="J19" s="758"/>
      <c r="K19" s="711" t="s">
        <v>51</v>
      </c>
      <c r="L19" s="674"/>
      <c r="M19" s="674"/>
      <c r="N19" s="674"/>
      <c r="O19" s="674"/>
      <c r="P19" s="1069"/>
      <c r="Q19" s="1017"/>
    </row>
    <row r="20" spans="1:17" x14ac:dyDescent="0.3">
      <c r="A20" s="1038"/>
      <c r="B20" s="12" t="s">
        <v>52</v>
      </c>
      <c r="C20" s="985"/>
      <c r="D20" s="23" t="s">
        <v>46</v>
      </c>
      <c r="E20" t="s">
        <v>53</v>
      </c>
      <c r="F20" s="1"/>
      <c r="H20" s="1032"/>
      <c r="I20" s="1032"/>
      <c r="J20" s="758"/>
      <c r="K20" s="151"/>
      <c r="L20" s="674"/>
      <c r="M20" s="674"/>
      <c r="N20" s="674"/>
      <c r="O20" s="674"/>
      <c r="P20" s="1069"/>
      <c r="Q20" s="1017"/>
    </row>
    <row r="21" spans="1:17" x14ac:dyDescent="0.3">
      <c r="A21" s="1038"/>
      <c r="B21" s="12"/>
      <c r="C21" s="985"/>
      <c r="F21" s="1"/>
      <c r="H21" s="1032"/>
      <c r="I21" s="1032"/>
      <c r="J21" s="758"/>
      <c r="K21" s="151"/>
      <c r="L21" s="674"/>
      <c r="M21" s="674"/>
      <c r="N21" s="674"/>
      <c r="O21" s="674"/>
      <c r="P21" s="1069"/>
      <c r="Q21" s="1017"/>
    </row>
    <row r="22" spans="1:17" x14ac:dyDescent="0.3">
      <c r="A22" s="1038"/>
      <c r="B22" s="12" t="s">
        <v>54</v>
      </c>
      <c r="C22" s="985"/>
      <c r="D22" s="23" t="s">
        <v>46</v>
      </c>
      <c r="E22" t="s">
        <v>55</v>
      </c>
      <c r="F22" s="1"/>
      <c r="H22" s="1032"/>
      <c r="I22" s="1032"/>
      <c r="J22" s="758"/>
      <c r="K22" s="151"/>
      <c r="L22" s="674"/>
      <c r="M22" s="674"/>
      <c r="N22" s="674"/>
      <c r="O22" s="674"/>
      <c r="P22" s="1069"/>
      <c r="Q22" s="1017"/>
    </row>
    <row r="23" spans="1:17" x14ac:dyDescent="0.3">
      <c r="A23" s="1038"/>
      <c r="B23" s="12"/>
      <c r="C23" s="985"/>
      <c r="F23" s="1"/>
      <c r="H23" s="1032"/>
      <c r="I23" s="1032"/>
      <c r="J23" s="758"/>
      <c r="K23" s="151"/>
      <c r="L23" s="674"/>
      <c r="M23" s="674"/>
      <c r="N23" s="674"/>
      <c r="O23" s="674"/>
      <c r="P23" s="1069"/>
      <c r="Q23" s="1017"/>
    </row>
    <row r="24" spans="1:17" x14ac:dyDescent="0.3">
      <c r="A24" s="1038"/>
      <c r="B24" s="12" t="s">
        <v>56</v>
      </c>
      <c r="C24" s="985"/>
      <c r="D24" s="23" t="s">
        <v>46</v>
      </c>
      <c r="E24" t="s">
        <v>57</v>
      </c>
      <c r="F24" s="1"/>
      <c r="H24" s="1032"/>
      <c r="I24" s="1032"/>
      <c r="J24" s="758"/>
      <c r="K24" s="151"/>
      <c r="L24" s="674"/>
      <c r="M24" s="674"/>
      <c r="N24" s="674"/>
      <c r="O24" s="674"/>
      <c r="P24" s="1069"/>
      <c r="Q24" s="1017"/>
    </row>
    <row r="25" spans="1:17" x14ac:dyDescent="0.3">
      <c r="A25" s="1038"/>
      <c r="B25" s="12"/>
      <c r="C25" s="985"/>
      <c r="F25" s="1"/>
      <c r="H25" s="1032"/>
      <c r="I25" s="1032"/>
      <c r="J25" s="758"/>
      <c r="K25" s="151"/>
      <c r="L25" s="674"/>
      <c r="M25" s="674"/>
      <c r="N25" s="674"/>
      <c r="O25" s="674"/>
      <c r="P25" s="1069"/>
      <c r="Q25" s="1017"/>
    </row>
    <row r="26" spans="1:17" ht="15" thickBot="1" x14ac:dyDescent="0.35">
      <c r="A26" s="1039"/>
      <c r="B26" s="13"/>
      <c r="C26" s="1044"/>
      <c r="D26" s="25"/>
      <c r="E26" s="9"/>
      <c r="F26" s="115"/>
      <c r="G26" s="115"/>
      <c r="H26" s="1033"/>
      <c r="I26" s="1033"/>
      <c r="J26" s="759"/>
      <c r="K26" s="152"/>
      <c r="L26" s="675"/>
      <c r="M26" s="675"/>
      <c r="N26" s="675"/>
      <c r="O26" s="675"/>
      <c r="P26" s="1070"/>
      <c r="Q26" s="1018"/>
    </row>
    <row r="27" spans="1:17" ht="15" thickBot="1" x14ac:dyDescent="0.35">
      <c r="L27" s="607"/>
      <c r="M27" s="510"/>
      <c r="N27" s="510"/>
      <c r="O27" s="584"/>
    </row>
    <row r="28" spans="1:17" x14ac:dyDescent="0.3">
      <c r="A28" s="1037" t="s">
        <v>58</v>
      </c>
      <c r="B28" s="1048" t="s">
        <v>59</v>
      </c>
      <c r="C28" s="1043"/>
      <c r="D28" s="1045" t="s">
        <v>46</v>
      </c>
      <c r="E28" s="1007" t="s">
        <v>60</v>
      </c>
      <c r="F28" s="2"/>
      <c r="G28" s="1040">
        <f>SUM(TETIERE!E4)</f>
        <v>0.79449999999999987</v>
      </c>
      <c r="H28" s="1028" t="s">
        <v>41</v>
      </c>
      <c r="I28" s="1007" t="s">
        <v>61</v>
      </c>
      <c r="J28" s="1022" t="s">
        <v>62</v>
      </c>
      <c r="K28" s="642"/>
      <c r="L28" s="676"/>
      <c r="M28" s="676"/>
      <c r="N28" s="676"/>
      <c r="O28" s="676"/>
      <c r="P28" s="1019">
        <v>364</v>
      </c>
      <c r="Q28" s="1016" t="s">
        <v>30</v>
      </c>
    </row>
    <row r="29" spans="1:17" x14ac:dyDescent="0.3">
      <c r="A29" s="1038"/>
      <c r="B29" s="1049"/>
      <c r="C29" s="985"/>
      <c r="D29" s="1046"/>
      <c r="E29" s="1008"/>
      <c r="G29" s="1041"/>
      <c r="H29" s="1029"/>
      <c r="I29" s="1008"/>
      <c r="J29" s="1023"/>
      <c r="K29" s="643"/>
      <c r="L29" s="677"/>
      <c r="M29" s="677"/>
      <c r="N29" s="677"/>
      <c r="O29" s="677"/>
      <c r="P29" s="1020"/>
      <c r="Q29" s="1017"/>
    </row>
    <row r="30" spans="1:17" x14ac:dyDescent="0.3">
      <c r="A30" s="1038"/>
      <c r="B30" s="1049"/>
      <c r="C30" s="985"/>
      <c r="D30" s="1046"/>
      <c r="E30" s="1008"/>
      <c r="G30" s="1041"/>
      <c r="H30" s="1029"/>
      <c r="I30" s="1008"/>
      <c r="J30" s="1023"/>
      <c r="K30" s="643"/>
      <c r="L30" s="677"/>
      <c r="M30" s="677"/>
      <c r="N30" s="677"/>
      <c r="O30" s="677"/>
      <c r="P30" s="1020"/>
      <c r="Q30" s="1017"/>
    </row>
    <row r="31" spans="1:17" x14ac:dyDescent="0.3">
      <c r="A31" s="1038"/>
      <c r="B31" s="1049"/>
      <c r="C31" s="985"/>
      <c r="D31" s="1046"/>
      <c r="E31" s="1008"/>
      <c r="G31" s="1041"/>
      <c r="H31" s="1029"/>
      <c r="I31" s="1008"/>
      <c r="J31" s="1023"/>
      <c r="K31" s="643"/>
      <c r="L31" s="677"/>
      <c r="M31" s="677"/>
      <c r="N31" s="677"/>
      <c r="O31" s="677"/>
      <c r="P31" s="1020"/>
      <c r="Q31" s="1017"/>
    </row>
    <row r="32" spans="1:17" x14ac:dyDescent="0.3">
      <c r="A32" s="1038"/>
      <c r="B32" s="1049"/>
      <c r="C32" s="985"/>
      <c r="D32" s="1046"/>
      <c r="E32" s="1008"/>
      <c r="G32" s="1041"/>
      <c r="H32" s="1029"/>
      <c r="I32" s="1008"/>
      <c r="J32" s="1023"/>
      <c r="K32" s="643"/>
      <c r="L32" s="677"/>
      <c r="M32" s="677"/>
      <c r="N32" s="677"/>
      <c r="O32" s="677"/>
      <c r="P32" s="1020"/>
      <c r="Q32" s="1017"/>
    </row>
    <row r="33" spans="1:17" x14ac:dyDescent="0.3">
      <c r="A33" s="1038"/>
      <c r="B33" s="1049"/>
      <c r="C33" s="985"/>
      <c r="D33" s="1046"/>
      <c r="E33" s="1008"/>
      <c r="G33" s="1041"/>
      <c r="H33" s="1029"/>
      <c r="I33" s="1008"/>
      <c r="J33" s="1023"/>
      <c r="K33" s="643"/>
      <c r="L33" s="677"/>
      <c r="M33" s="677"/>
      <c r="N33" s="677"/>
      <c r="O33" s="677"/>
      <c r="P33" s="1020"/>
      <c r="Q33" s="1017"/>
    </row>
    <row r="34" spans="1:17" ht="15" thickBot="1" x14ac:dyDescent="0.35">
      <c r="A34" s="1039"/>
      <c r="B34" s="1050"/>
      <c r="C34" s="1044"/>
      <c r="D34" s="1047"/>
      <c r="E34" s="1009"/>
      <c r="F34" s="11"/>
      <c r="G34" s="1042"/>
      <c r="H34" s="1030"/>
      <c r="I34" s="1009"/>
      <c r="J34" s="1024"/>
      <c r="K34" s="644"/>
      <c r="L34" s="678"/>
      <c r="M34" s="678"/>
      <c r="N34" s="678"/>
      <c r="O34" s="678"/>
      <c r="P34" s="1021"/>
      <c r="Q34" s="1018"/>
    </row>
    <row r="35" spans="1:17" ht="15" thickBot="1" x14ac:dyDescent="0.35">
      <c r="D35" s="153"/>
      <c r="E35" s="1"/>
      <c r="L35" s="607"/>
      <c r="M35" s="510"/>
      <c r="N35" s="510"/>
      <c r="O35" s="584"/>
    </row>
    <row r="36" spans="1:17" x14ac:dyDescent="0.3">
      <c r="A36" s="1037" t="s">
        <v>63</v>
      </c>
      <c r="B36" s="1048" t="s">
        <v>64</v>
      </c>
      <c r="C36" s="1043"/>
      <c r="D36" s="1045" t="s">
        <v>46</v>
      </c>
      <c r="E36" s="1007" t="s">
        <v>65</v>
      </c>
      <c r="F36" s="2"/>
      <c r="G36" s="1040">
        <f>SUM('ENS TABLETTE COCKTAIL'!E3)</f>
        <v>5.4689999999999994</v>
      </c>
      <c r="H36" s="1028" t="s">
        <v>41</v>
      </c>
      <c r="I36" s="1007" t="s">
        <v>66</v>
      </c>
      <c r="J36" s="1022" t="s">
        <v>67</v>
      </c>
      <c r="K36" s="642"/>
      <c r="L36" s="679"/>
      <c r="M36" s="679"/>
      <c r="N36" s="679"/>
      <c r="O36" s="679"/>
      <c r="P36" s="1013">
        <v>295</v>
      </c>
      <c r="Q36" s="1016" t="s">
        <v>30</v>
      </c>
    </row>
    <row r="37" spans="1:17" x14ac:dyDescent="0.3">
      <c r="A37" s="1038"/>
      <c r="B37" s="1049"/>
      <c r="C37" s="985"/>
      <c r="D37" s="1046"/>
      <c r="E37" s="1008"/>
      <c r="G37" s="1041"/>
      <c r="H37" s="1029"/>
      <c r="I37" s="1008"/>
      <c r="J37" s="1023"/>
      <c r="K37" s="643"/>
      <c r="L37" s="680"/>
      <c r="M37" s="680"/>
      <c r="N37" s="680"/>
      <c r="O37" s="680"/>
      <c r="P37" s="1014"/>
      <c r="Q37" s="1017"/>
    </row>
    <row r="38" spans="1:17" x14ac:dyDescent="0.3">
      <c r="A38" s="1038"/>
      <c r="B38" s="1049"/>
      <c r="C38" s="985"/>
      <c r="D38" s="1046"/>
      <c r="E38" s="1008"/>
      <c r="G38" s="1041"/>
      <c r="H38" s="1029"/>
      <c r="I38" s="1008"/>
      <c r="J38" s="1023"/>
      <c r="K38" s="711" t="s">
        <v>51</v>
      </c>
      <c r="L38" s="680"/>
      <c r="M38" s="680"/>
      <c r="N38" s="680"/>
      <c r="O38" s="680"/>
      <c r="P38" s="1014"/>
      <c r="Q38" s="1017"/>
    </row>
    <row r="39" spans="1:17" x14ac:dyDescent="0.3">
      <c r="A39" s="1038"/>
      <c r="B39" s="1049"/>
      <c r="C39" s="985"/>
      <c r="D39" s="1046"/>
      <c r="E39" s="1008"/>
      <c r="G39" s="1041"/>
      <c r="H39" s="1029"/>
      <c r="I39" s="1008"/>
      <c r="J39" s="1023"/>
      <c r="K39" s="646" t="s">
        <v>68</v>
      </c>
      <c r="L39" s="680"/>
      <c r="M39" s="680"/>
      <c r="N39" s="680"/>
      <c r="O39" s="680"/>
      <c r="P39" s="1014"/>
      <c r="Q39" s="1017"/>
    </row>
    <row r="40" spans="1:17" x14ac:dyDescent="0.3">
      <c r="A40" s="1038"/>
      <c r="B40" s="1049"/>
      <c r="C40" s="985"/>
      <c r="D40" s="1046"/>
      <c r="E40" s="1008"/>
      <c r="G40" s="1041"/>
      <c r="H40" s="1029"/>
      <c r="I40" s="1008"/>
      <c r="J40" s="1023"/>
      <c r="K40" s="643"/>
      <c r="L40" s="680"/>
      <c r="M40" s="680"/>
      <c r="N40" s="680"/>
      <c r="O40" s="680"/>
      <c r="P40" s="1014"/>
      <c r="Q40" s="1017"/>
    </row>
    <row r="41" spans="1:17" x14ac:dyDescent="0.3">
      <c r="A41" s="1038"/>
      <c r="B41" s="1049"/>
      <c r="C41" s="985"/>
      <c r="D41" s="1046"/>
      <c r="E41" s="1008"/>
      <c r="G41" s="1041"/>
      <c r="H41" s="1029"/>
      <c r="I41" s="1008"/>
      <c r="J41" s="1023"/>
      <c r="K41" s="643"/>
      <c r="L41" s="680"/>
      <c r="M41" s="680"/>
      <c r="N41" s="680"/>
      <c r="O41" s="680"/>
      <c r="P41" s="1014"/>
      <c r="Q41" s="1017"/>
    </row>
    <row r="42" spans="1:17" ht="15" thickBot="1" x14ac:dyDescent="0.35">
      <c r="A42" s="1039"/>
      <c r="B42" s="1050"/>
      <c r="C42" s="1044"/>
      <c r="D42" s="1047"/>
      <c r="E42" s="1009"/>
      <c r="F42" s="11"/>
      <c r="G42" s="1042"/>
      <c r="H42" s="1030"/>
      <c r="I42" s="1009"/>
      <c r="J42" s="1024"/>
      <c r="K42" s="644"/>
      <c r="L42" s="681"/>
      <c r="M42" s="681"/>
      <c r="N42" s="681"/>
      <c r="O42" s="681"/>
      <c r="P42" s="1015"/>
      <c r="Q42" s="1018"/>
    </row>
    <row r="43" spans="1:17" ht="15" thickBot="1" x14ac:dyDescent="0.35">
      <c r="L43" s="607"/>
      <c r="M43" s="510"/>
      <c r="N43" s="510"/>
      <c r="O43" s="584"/>
    </row>
    <row r="44" spans="1:17" x14ac:dyDescent="0.3">
      <c r="A44" s="1037" t="s">
        <v>69</v>
      </c>
      <c r="B44" s="1048" t="s">
        <v>70</v>
      </c>
      <c r="C44" s="1043"/>
      <c r="D44" s="1045" t="s">
        <v>46</v>
      </c>
      <c r="E44" s="1007" t="s">
        <v>71</v>
      </c>
      <c r="F44" s="2"/>
      <c r="G44" s="1040">
        <f>SUM('ENS TABLETTE REPAS'!E3)</f>
        <v>3.6497000000000002</v>
      </c>
      <c r="H44" s="1028" t="s">
        <v>41</v>
      </c>
      <c r="I44" s="1007" t="s">
        <v>61</v>
      </c>
      <c r="J44" s="1022" t="s">
        <v>62</v>
      </c>
      <c r="K44" s="645"/>
      <c r="L44" s="682"/>
      <c r="M44" s="682"/>
      <c r="N44" s="682"/>
      <c r="O44" s="682"/>
      <c r="P44" s="1025">
        <v>364</v>
      </c>
      <c r="Q44" s="1016" t="s">
        <v>30</v>
      </c>
    </row>
    <row r="45" spans="1:17" x14ac:dyDescent="0.3">
      <c r="A45" s="1038"/>
      <c r="B45" s="1049"/>
      <c r="C45" s="985"/>
      <c r="D45" s="1046"/>
      <c r="E45" s="1008"/>
      <c r="G45" s="1041"/>
      <c r="H45" s="1029"/>
      <c r="I45" s="1008"/>
      <c r="J45" s="1023"/>
      <c r="K45" s="646"/>
      <c r="L45" s="683"/>
      <c r="M45" s="683"/>
      <c r="N45" s="683"/>
      <c r="O45" s="683"/>
      <c r="P45" s="1026"/>
      <c r="Q45" s="1017"/>
    </row>
    <row r="46" spans="1:17" x14ac:dyDescent="0.3">
      <c r="A46" s="1038"/>
      <c r="B46" s="1049"/>
      <c r="C46" s="985"/>
      <c r="D46" s="1046"/>
      <c r="E46" s="1008"/>
      <c r="G46" s="1041"/>
      <c r="H46" s="1029"/>
      <c r="I46" s="1008"/>
      <c r="J46" s="1023"/>
      <c r="K46" s="646"/>
      <c r="L46" s="683"/>
      <c r="M46" s="683"/>
      <c r="N46" s="683"/>
      <c r="O46" s="683"/>
      <c r="P46" s="1026"/>
      <c r="Q46" s="1017"/>
    </row>
    <row r="47" spans="1:17" x14ac:dyDescent="0.3">
      <c r="A47" s="1038"/>
      <c r="B47" s="1049"/>
      <c r="C47" s="985"/>
      <c r="D47" s="1046"/>
      <c r="E47" s="1008"/>
      <c r="G47" s="1041"/>
      <c r="H47" s="1029"/>
      <c r="I47" s="1008"/>
      <c r="J47" s="1023"/>
      <c r="K47" s="711" t="s">
        <v>51</v>
      </c>
      <c r="L47" s="683"/>
      <c r="M47" s="683"/>
      <c r="N47" s="683"/>
      <c r="O47" s="683"/>
      <c r="P47" s="1026"/>
      <c r="Q47" s="1017"/>
    </row>
    <row r="48" spans="1:17" x14ac:dyDescent="0.3">
      <c r="A48" s="1038"/>
      <c r="B48" s="1049"/>
      <c r="C48" s="985"/>
      <c r="D48" s="1046"/>
      <c r="E48" s="1008"/>
      <c r="G48" s="1041"/>
      <c r="H48" s="1029"/>
      <c r="I48" s="1008"/>
      <c r="J48" s="1023"/>
      <c r="K48" s="646" t="s">
        <v>68</v>
      </c>
      <c r="L48" s="683"/>
      <c r="M48" s="683"/>
      <c r="N48" s="683"/>
      <c r="O48" s="683"/>
      <c r="P48" s="1026"/>
      <c r="Q48" s="1017"/>
    </row>
    <row r="49" spans="1:17" x14ac:dyDescent="0.3">
      <c r="A49" s="1038"/>
      <c r="B49" s="1049"/>
      <c r="C49" s="985"/>
      <c r="D49" s="1046"/>
      <c r="E49" s="1008"/>
      <c r="G49" s="1041"/>
      <c r="H49" s="1029"/>
      <c r="I49" s="1008"/>
      <c r="J49" s="1023"/>
      <c r="K49" s="646"/>
      <c r="L49" s="683"/>
      <c r="M49" s="683"/>
      <c r="N49" s="683"/>
      <c r="O49" s="683"/>
      <c r="P49" s="1026"/>
      <c r="Q49" s="1017"/>
    </row>
    <row r="50" spans="1:17" ht="15" thickBot="1" x14ac:dyDescent="0.35">
      <c r="A50" s="1039"/>
      <c r="B50" s="1050"/>
      <c r="C50" s="1044"/>
      <c r="D50" s="1047"/>
      <c r="E50" s="1009"/>
      <c r="F50" s="11"/>
      <c r="G50" s="1042"/>
      <c r="H50" s="1030"/>
      <c r="I50" s="1009"/>
      <c r="J50" s="1024"/>
      <c r="K50" s="647"/>
      <c r="L50" s="684"/>
      <c r="M50" s="684"/>
      <c r="N50" s="684"/>
      <c r="O50" s="684"/>
      <c r="P50" s="1027"/>
      <c r="Q50" s="1018"/>
    </row>
    <row r="51" spans="1:17" ht="15" thickBot="1" x14ac:dyDescent="0.35">
      <c r="D51" s="153"/>
      <c r="E51" s="1"/>
      <c r="L51" s="607"/>
      <c r="M51" s="510"/>
      <c r="N51" s="510"/>
      <c r="O51" s="584"/>
    </row>
    <row r="52" spans="1:17" x14ac:dyDescent="0.3">
      <c r="A52" s="1037" t="s">
        <v>72</v>
      </c>
      <c r="B52" s="1048" t="s">
        <v>73</v>
      </c>
      <c r="C52" s="1043"/>
      <c r="D52" s="1045" t="s">
        <v>46</v>
      </c>
      <c r="E52" s="1045" t="s">
        <v>74</v>
      </c>
      <c r="F52" s="2"/>
      <c r="G52" s="1040">
        <f>SUM('STOWAGE ASSEMBLE AVEC PORTE'!E3)</f>
        <v>6.8658381000000004</v>
      </c>
      <c r="H52" s="1028" t="s">
        <v>41</v>
      </c>
      <c r="I52" s="1007" t="s">
        <v>75</v>
      </c>
      <c r="J52" s="1016" t="s">
        <v>76</v>
      </c>
      <c r="K52" s="636"/>
      <c r="L52" s="685"/>
      <c r="M52" s="685"/>
      <c r="N52" s="685"/>
      <c r="O52" s="685"/>
      <c r="P52" s="1019">
        <v>151</v>
      </c>
      <c r="Q52" s="1016" t="s">
        <v>30</v>
      </c>
    </row>
    <row r="53" spans="1:17" x14ac:dyDescent="0.3">
      <c r="A53" s="1038"/>
      <c r="B53" s="1049"/>
      <c r="C53" s="985"/>
      <c r="D53" s="1046"/>
      <c r="E53" s="1046"/>
      <c r="G53" s="1041"/>
      <c r="H53" s="1029"/>
      <c r="I53" s="1008"/>
      <c r="J53" s="1017"/>
      <c r="K53" s="637"/>
      <c r="L53" s="686"/>
      <c r="M53" s="686"/>
      <c r="N53" s="686"/>
      <c r="O53" s="686"/>
      <c r="P53" s="1020"/>
      <c r="Q53" s="1017"/>
    </row>
    <row r="54" spans="1:17" x14ac:dyDescent="0.3">
      <c r="A54" s="1038"/>
      <c r="B54" s="1049"/>
      <c r="C54" s="985"/>
      <c r="D54" s="1046"/>
      <c r="E54" s="1046"/>
      <c r="G54" s="1041"/>
      <c r="H54" s="1029"/>
      <c r="I54" s="1008"/>
      <c r="J54" s="1017"/>
      <c r="K54" s="637" t="s">
        <v>77</v>
      </c>
      <c r="L54" s="686"/>
      <c r="M54" s="686"/>
      <c r="N54" s="686"/>
      <c r="O54" s="686"/>
      <c r="P54" s="1020"/>
      <c r="Q54" s="1017"/>
    </row>
    <row r="55" spans="1:17" x14ac:dyDescent="0.3">
      <c r="A55" s="1038"/>
      <c r="B55" s="1049"/>
      <c r="C55" s="985"/>
      <c r="D55" s="1046"/>
      <c r="E55" s="1046"/>
      <c r="G55" s="1041"/>
      <c r="H55" s="1029"/>
      <c r="I55" s="1008"/>
      <c r="J55" s="1017"/>
      <c r="K55" s="711" t="s">
        <v>51</v>
      </c>
      <c r="L55" s="686"/>
      <c r="M55" s="686"/>
      <c r="N55" s="686"/>
      <c r="O55" s="686"/>
      <c r="P55" s="1020"/>
      <c r="Q55" s="1017"/>
    </row>
    <row r="56" spans="1:17" x14ac:dyDescent="0.3">
      <c r="A56" s="1038"/>
      <c r="B56" s="1049"/>
      <c r="C56" s="985"/>
      <c r="D56" s="1046"/>
      <c r="E56" s="1046"/>
      <c r="G56" s="1041"/>
      <c r="H56" s="1029"/>
      <c r="I56" s="1008"/>
      <c r="J56" s="1017"/>
      <c r="K56" s="637"/>
      <c r="L56" s="686"/>
      <c r="M56" s="686"/>
      <c r="N56" s="686"/>
      <c r="O56" s="686"/>
      <c r="P56" s="1020"/>
      <c r="Q56" s="1017"/>
    </row>
    <row r="57" spans="1:17" x14ac:dyDescent="0.3">
      <c r="A57" s="1038"/>
      <c r="B57" s="1049"/>
      <c r="C57" s="985"/>
      <c r="D57" s="1046"/>
      <c r="E57" s="1046"/>
      <c r="G57" s="1041"/>
      <c r="H57" s="1029"/>
      <c r="I57" s="1008"/>
      <c r="J57" s="1017"/>
      <c r="K57" s="637"/>
      <c r="L57" s="686"/>
      <c r="M57" s="686"/>
      <c r="N57" s="686"/>
      <c r="O57" s="686"/>
      <c r="P57" s="1020"/>
      <c r="Q57" s="1017"/>
    </row>
    <row r="58" spans="1:17" ht="15" thickBot="1" x14ac:dyDescent="0.35">
      <c r="A58" s="1039"/>
      <c r="B58" s="1050"/>
      <c r="C58" s="1044"/>
      <c r="D58" s="1047"/>
      <c r="E58" s="1047"/>
      <c r="F58" s="11"/>
      <c r="G58" s="1042"/>
      <c r="H58" s="1030"/>
      <c r="I58" s="1009"/>
      <c r="J58" s="1018"/>
      <c r="K58" s="638"/>
      <c r="L58" s="687"/>
      <c r="M58" s="687"/>
      <c r="N58" s="687"/>
      <c r="O58" s="687"/>
      <c r="P58" s="1021"/>
      <c r="Q58" s="1018"/>
    </row>
    <row r="59" spans="1:17" ht="15" thickBot="1" x14ac:dyDescent="0.35">
      <c r="L59" s="607"/>
      <c r="M59" s="510"/>
      <c r="N59" s="510"/>
      <c r="O59" s="584"/>
    </row>
    <row r="60" spans="1:17" x14ac:dyDescent="0.3">
      <c r="A60" s="1037" t="s">
        <v>78</v>
      </c>
      <c r="B60" s="1048" t="s">
        <v>79</v>
      </c>
      <c r="C60" s="1043"/>
      <c r="D60" s="1045" t="s">
        <v>46</v>
      </c>
      <c r="E60" s="1045" t="s">
        <v>80</v>
      </c>
      <c r="F60" s="2"/>
      <c r="G60" s="1040">
        <f>SUM('SUPPORT ECRAN ASSEMBLE'!E3)</f>
        <v>2.0273599999999998</v>
      </c>
      <c r="H60" s="1028" t="s">
        <v>41</v>
      </c>
      <c r="I60" s="1007" t="s">
        <v>61</v>
      </c>
      <c r="J60" s="1022" t="s">
        <v>62</v>
      </c>
      <c r="K60" s="645"/>
      <c r="L60" s="682"/>
      <c r="M60" s="682"/>
      <c r="N60" s="682"/>
      <c r="O60" s="682"/>
      <c r="P60" s="1025">
        <v>364</v>
      </c>
      <c r="Q60" s="1016" t="s">
        <v>30</v>
      </c>
    </row>
    <row r="61" spans="1:17" x14ac:dyDescent="0.3">
      <c r="A61" s="1038"/>
      <c r="B61" s="1049"/>
      <c r="C61" s="985"/>
      <c r="D61" s="1046"/>
      <c r="E61" s="1046"/>
      <c r="G61" s="1041"/>
      <c r="H61" s="1029"/>
      <c r="I61" s="1008"/>
      <c r="J61" s="1023"/>
      <c r="K61" s="646"/>
      <c r="L61" s="683"/>
      <c r="M61" s="683"/>
      <c r="N61" s="683"/>
      <c r="O61" s="683"/>
      <c r="P61" s="1026"/>
      <c r="Q61" s="1017"/>
    </row>
    <row r="62" spans="1:17" x14ac:dyDescent="0.3">
      <c r="A62" s="1038"/>
      <c r="B62" s="1049"/>
      <c r="C62" s="985"/>
      <c r="D62" s="1046"/>
      <c r="E62" s="1046"/>
      <c r="G62" s="1041"/>
      <c r="H62" s="1029"/>
      <c r="I62" s="1008"/>
      <c r="J62" s="1023"/>
      <c r="K62" s="637" t="s">
        <v>77</v>
      </c>
      <c r="L62" s="683"/>
      <c r="M62" s="683"/>
      <c r="N62" s="683"/>
      <c r="O62" s="683"/>
      <c r="P62" s="1026"/>
      <c r="Q62" s="1017"/>
    </row>
    <row r="63" spans="1:17" x14ac:dyDescent="0.3">
      <c r="A63" s="1038"/>
      <c r="B63" s="1049"/>
      <c r="C63" s="985"/>
      <c r="D63" s="1046"/>
      <c r="E63" s="1046"/>
      <c r="G63" s="1041"/>
      <c r="H63" s="1029"/>
      <c r="I63" s="1008"/>
      <c r="J63" s="1023"/>
      <c r="K63" s="711" t="s">
        <v>51</v>
      </c>
      <c r="L63" s="683"/>
      <c r="M63" s="683"/>
      <c r="N63" s="683"/>
      <c r="O63" s="683"/>
      <c r="P63" s="1026"/>
      <c r="Q63" s="1017"/>
    </row>
    <row r="64" spans="1:17" x14ac:dyDescent="0.3">
      <c r="A64" s="1038"/>
      <c r="B64" s="1049"/>
      <c r="C64" s="985"/>
      <c r="D64" s="1046"/>
      <c r="E64" s="1046"/>
      <c r="G64" s="1041"/>
      <c r="H64" s="1029"/>
      <c r="I64" s="1008"/>
      <c r="J64" s="1023"/>
      <c r="K64" s="646"/>
      <c r="L64" s="683"/>
      <c r="M64" s="683"/>
      <c r="N64" s="683"/>
      <c r="O64" s="683"/>
      <c r="P64" s="1026"/>
      <c r="Q64" s="1017"/>
    </row>
    <row r="65" spans="1:17" x14ac:dyDescent="0.3">
      <c r="A65" s="1038"/>
      <c r="B65" s="1049"/>
      <c r="C65" s="985"/>
      <c r="D65" s="1046"/>
      <c r="E65" s="1046"/>
      <c r="G65" s="1041"/>
      <c r="H65" s="1029"/>
      <c r="I65" s="1008"/>
      <c r="J65" s="1023"/>
      <c r="K65" s="646"/>
      <c r="L65" s="683"/>
      <c r="M65" s="683"/>
      <c r="N65" s="683"/>
      <c r="O65" s="683"/>
      <c r="P65" s="1026"/>
      <c r="Q65" s="1017"/>
    </row>
    <row r="66" spans="1:17" ht="15" thickBot="1" x14ac:dyDescent="0.35">
      <c r="A66" s="1039"/>
      <c r="B66" s="1050"/>
      <c r="C66" s="1044"/>
      <c r="D66" s="1047"/>
      <c r="E66" s="1047"/>
      <c r="F66" s="11"/>
      <c r="G66" s="1042"/>
      <c r="H66" s="1030"/>
      <c r="I66" s="1009"/>
      <c r="J66" s="1024"/>
      <c r="K66" s="647"/>
      <c r="L66" s="684"/>
      <c r="M66" s="684"/>
      <c r="N66" s="684"/>
      <c r="O66" s="684"/>
      <c r="P66" s="1027"/>
      <c r="Q66" s="1018"/>
    </row>
    <row r="67" spans="1:17" ht="15" thickBot="1" x14ac:dyDescent="0.35">
      <c r="D67" s="153"/>
      <c r="E67" s="1"/>
      <c r="G67" s="107"/>
      <c r="L67" s="607"/>
      <c r="M67" s="510"/>
      <c r="N67" s="510"/>
      <c r="O67" s="584"/>
    </row>
    <row r="68" spans="1:17" x14ac:dyDescent="0.3">
      <c r="A68" s="1037" t="s">
        <v>81</v>
      </c>
      <c r="B68" s="1048" t="s">
        <v>82</v>
      </c>
      <c r="C68" s="1043"/>
      <c r="D68" s="1045" t="s">
        <v>83</v>
      </c>
      <c r="E68" s="1045" t="s">
        <v>84</v>
      </c>
      <c r="F68" s="2"/>
      <c r="G68" s="1040">
        <f>SUM('RENFORT TUBULAIRE'!E4)</f>
        <v>1.3380000000000001</v>
      </c>
      <c r="H68" s="1028" t="s">
        <v>85</v>
      </c>
      <c r="I68" s="1007" t="s">
        <v>86</v>
      </c>
      <c r="J68" s="1022" t="s">
        <v>87</v>
      </c>
      <c r="K68" s="642"/>
      <c r="L68" s="685"/>
      <c r="M68" s="685"/>
      <c r="N68" s="685"/>
      <c r="O68" s="685"/>
      <c r="P68" s="1019">
        <v>408</v>
      </c>
      <c r="Q68" s="1016" t="s">
        <v>30</v>
      </c>
    </row>
    <row r="69" spans="1:17" x14ac:dyDescent="0.3">
      <c r="A69" s="1038"/>
      <c r="B69" s="1049"/>
      <c r="C69" s="985"/>
      <c r="D69" s="1046"/>
      <c r="E69" s="1046"/>
      <c r="G69" s="1041"/>
      <c r="H69" s="1029"/>
      <c r="I69" s="1008"/>
      <c r="J69" s="1023"/>
      <c r="K69" s="643"/>
      <c r="L69" s="686"/>
      <c r="M69" s="686"/>
      <c r="N69" s="686"/>
      <c r="O69" s="686"/>
      <c r="P69" s="1020"/>
      <c r="Q69" s="1017"/>
    </row>
    <row r="70" spans="1:17" x14ac:dyDescent="0.3">
      <c r="A70" s="1038"/>
      <c r="B70" s="1049"/>
      <c r="C70" s="985"/>
      <c r="D70" s="1046"/>
      <c r="E70" s="1046"/>
      <c r="G70" s="1041"/>
      <c r="H70" s="1029"/>
      <c r="I70" s="1008"/>
      <c r="J70" s="1023"/>
      <c r="K70" s="643"/>
      <c r="L70" s="686"/>
      <c r="M70" s="686"/>
      <c r="N70" s="686"/>
      <c r="O70" s="686"/>
      <c r="P70" s="1020"/>
      <c r="Q70" s="1017"/>
    </row>
    <row r="71" spans="1:17" x14ac:dyDescent="0.3">
      <c r="A71" s="1038"/>
      <c r="B71" s="1049"/>
      <c r="C71" s="985"/>
      <c r="D71" s="1046"/>
      <c r="E71" s="1046"/>
      <c r="G71" s="1041"/>
      <c r="H71" s="1029"/>
      <c r="I71" s="1008"/>
      <c r="J71" s="1023"/>
      <c r="K71" s="643"/>
      <c r="L71" s="686"/>
      <c r="M71" s="686"/>
      <c r="N71" s="686"/>
      <c r="O71" s="686"/>
      <c r="P71" s="1020"/>
      <c r="Q71" s="1017"/>
    </row>
    <row r="72" spans="1:17" x14ac:dyDescent="0.3">
      <c r="A72" s="1038"/>
      <c r="B72" s="1049"/>
      <c r="C72" s="985"/>
      <c r="D72" s="1046"/>
      <c r="E72" s="1046"/>
      <c r="G72" s="1041"/>
      <c r="H72" s="1029"/>
      <c r="I72" s="1008"/>
      <c r="J72" s="1023"/>
      <c r="K72" s="643"/>
      <c r="L72" s="686"/>
      <c r="M72" s="686"/>
      <c r="N72" s="686"/>
      <c r="O72" s="686"/>
      <c r="P72" s="1020"/>
      <c r="Q72" s="1017"/>
    </row>
    <row r="73" spans="1:17" x14ac:dyDescent="0.3">
      <c r="A73" s="1038"/>
      <c r="B73" s="1049"/>
      <c r="C73" s="985"/>
      <c r="D73" s="1046"/>
      <c r="E73" s="1046"/>
      <c r="G73" s="1041"/>
      <c r="H73" s="1029"/>
      <c r="I73" s="1008"/>
      <c r="J73" s="1023"/>
      <c r="K73" s="643"/>
      <c r="L73" s="686"/>
      <c r="M73" s="686"/>
      <c r="N73" s="686"/>
      <c r="O73" s="686"/>
      <c r="P73" s="1020"/>
      <c r="Q73" s="1017"/>
    </row>
    <row r="74" spans="1:17" ht="15" thickBot="1" x14ac:dyDescent="0.35">
      <c r="A74" s="1039"/>
      <c r="B74" s="1050"/>
      <c r="C74" s="1044"/>
      <c r="D74" s="1047"/>
      <c r="E74" s="1047"/>
      <c r="F74" s="11"/>
      <c r="G74" s="1042"/>
      <c r="H74" s="1030"/>
      <c r="I74" s="1009"/>
      <c r="J74" s="1024"/>
      <c r="K74" s="644"/>
      <c r="L74" s="687"/>
      <c r="M74" s="687"/>
      <c r="N74" s="687"/>
      <c r="O74" s="687"/>
      <c r="P74" s="1021"/>
      <c r="Q74" s="1018"/>
    </row>
    <row r="75" spans="1:17" ht="15" thickBot="1" x14ac:dyDescent="0.35">
      <c r="D75" s="153"/>
      <c r="E75" s="1"/>
      <c r="L75" s="607"/>
      <c r="M75" s="510"/>
      <c r="N75" s="510"/>
      <c r="O75" s="584"/>
    </row>
    <row r="76" spans="1:17" x14ac:dyDescent="0.3">
      <c r="A76" s="1037" t="s">
        <v>88</v>
      </c>
      <c r="B76" s="1048" t="s">
        <v>89</v>
      </c>
      <c r="C76" s="1043"/>
      <c r="D76" s="1045" t="s">
        <v>90</v>
      </c>
      <c r="E76" s="1045" t="s">
        <v>91</v>
      </c>
      <c r="F76" s="2"/>
      <c r="G76" s="1040">
        <f>SUM('HABILLAGE SOUS FAUTEUIL'!E4)</f>
        <v>1.0570916000000001</v>
      </c>
      <c r="H76" s="1028" t="s">
        <v>92</v>
      </c>
      <c r="I76" s="1007" t="s">
        <v>93</v>
      </c>
      <c r="J76" s="1007" t="s">
        <v>94</v>
      </c>
      <c r="K76" s="639"/>
      <c r="L76" s="685"/>
      <c r="M76" s="685"/>
      <c r="N76" s="685"/>
      <c r="O76" s="685"/>
      <c r="P76" s="1019">
        <v>240</v>
      </c>
      <c r="Q76" s="1016" t="s">
        <v>30</v>
      </c>
    </row>
    <row r="77" spans="1:17" x14ac:dyDescent="0.3">
      <c r="A77" s="1038"/>
      <c r="B77" s="1049"/>
      <c r="C77" s="985"/>
      <c r="D77" s="1046"/>
      <c r="E77" s="1046"/>
      <c r="G77" s="1041"/>
      <c r="H77" s="1029"/>
      <c r="I77" s="1008"/>
      <c r="J77" s="1008"/>
      <c r="K77" s="640"/>
      <c r="L77" s="686"/>
      <c r="M77" s="686"/>
      <c r="N77" s="686"/>
      <c r="O77" s="686"/>
      <c r="P77" s="1020"/>
      <c r="Q77" s="1017"/>
    </row>
    <row r="78" spans="1:17" x14ac:dyDescent="0.3">
      <c r="A78" s="1038"/>
      <c r="B78" s="1049"/>
      <c r="C78" s="985"/>
      <c r="D78" s="1046"/>
      <c r="E78" s="1046"/>
      <c r="G78" s="1041"/>
      <c r="H78" s="1029"/>
      <c r="I78" s="1008"/>
      <c r="J78" s="1008"/>
      <c r="K78" s="640"/>
      <c r="L78" s="686"/>
      <c r="M78" s="686"/>
      <c r="N78" s="686"/>
      <c r="O78" s="686"/>
      <c r="P78" s="1020"/>
      <c r="Q78" s="1017"/>
    </row>
    <row r="79" spans="1:17" x14ac:dyDescent="0.3">
      <c r="A79" s="1038"/>
      <c r="B79" s="1049"/>
      <c r="C79" s="985"/>
      <c r="D79" s="1046"/>
      <c r="E79" s="1046"/>
      <c r="G79" s="1041"/>
      <c r="H79" s="1029"/>
      <c r="I79" s="1008"/>
      <c r="J79" s="1008"/>
      <c r="K79" s="637" t="s">
        <v>77</v>
      </c>
      <c r="L79" s="686"/>
      <c r="M79" s="686"/>
      <c r="N79" s="686"/>
      <c r="O79" s="686"/>
      <c r="P79" s="1020"/>
      <c r="Q79" s="1017"/>
    </row>
    <row r="80" spans="1:17" x14ac:dyDescent="0.3">
      <c r="A80" s="1038"/>
      <c r="B80" s="1049"/>
      <c r="C80" s="985"/>
      <c r="D80" s="1046"/>
      <c r="E80" s="1046"/>
      <c r="G80" s="1041"/>
      <c r="H80" s="1029"/>
      <c r="I80" s="1008"/>
      <c r="J80" s="1008"/>
      <c r="K80" s="640"/>
      <c r="L80" s="686"/>
      <c r="M80" s="686"/>
      <c r="N80" s="686"/>
      <c r="O80" s="686"/>
      <c r="P80" s="1020"/>
      <c r="Q80" s="1017"/>
    </row>
    <row r="81" spans="1:17" x14ac:dyDescent="0.3">
      <c r="A81" s="1038"/>
      <c r="B81" s="1049"/>
      <c r="C81" s="985"/>
      <c r="D81" s="1046"/>
      <c r="E81" s="1046"/>
      <c r="G81" s="1041"/>
      <c r="H81" s="1029"/>
      <c r="I81" s="1008"/>
      <c r="J81" s="1008"/>
      <c r="K81" s="640"/>
      <c r="L81" s="686"/>
      <c r="M81" s="686"/>
      <c r="N81" s="686"/>
      <c r="O81" s="686"/>
      <c r="P81" s="1020"/>
      <c r="Q81" s="1017"/>
    </row>
    <row r="82" spans="1:17" ht="15" thickBot="1" x14ac:dyDescent="0.35">
      <c r="A82" s="1039"/>
      <c r="B82" s="1050"/>
      <c r="C82" s="1044"/>
      <c r="D82" s="1047"/>
      <c r="E82" s="1047"/>
      <c r="F82" s="11"/>
      <c r="G82" s="1042"/>
      <c r="H82" s="1030"/>
      <c r="I82" s="1009"/>
      <c r="J82" s="1009"/>
      <c r="K82" s="641"/>
      <c r="L82" s="687"/>
      <c r="M82" s="687"/>
      <c r="N82" s="687"/>
      <c r="O82" s="687"/>
      <c r="P82" s="1021"/>
      <c r="Q82" s="1018"/>
    </row>
    <row r="83" spans="1:17" ht="15" thickBot="1" x14ac:dyDescent="0.35">
      <c r="D83" s="153"/>
      <c r="E83" s="1"/>
      <c r="L83" s="607"/>
      <c r="M83" s="510"/>
      <c r="N83" s="510"/>
      <c r="O83" s="584"/>
    </row>
    <row r="84" spans="1:17" x14ac:dyDescent="0.3">
      <c r="A84" s="1037" t="s">
        <v>95</v>
      </c>
      <c r="B84" s="1048" t="s">
        <v>96</v>
      </c>
      <c r="C84" s="1043"/>
      <c r="D84" s="1045" t="s">
        <v>90</v>
      </c>
      <c r="E84" s="1045" t="s">
        <v>91</v>
      </c>
      <c r="F84" s="2"/>
      <c r="G84" s="1040">
        <f>SUM('ENSEMBLE EQUIPEMENTS LATERALES'!E4)</f>
        <v>3.7464006999999988</v>
      </c>
      <c r="H84" s="1028" t="s">
        <v>92</v>
      </c>
      <c r="I84" s="1007" t="s">
        <v>93</v>
      </c>
      <c r="J84" s="1007" t="s">
        <v>94</v>
      </c>
      <c r="K84" s="639"/>
      <c r="L84" s="685"/>
      <c r="M84" s="685"/>
      <c r="N84" s="685"/>
      <c r="O84" s="685"/>
      <c r="P84" s="1019">
        <v>240</v>
      </c>
      <c r="Q84" s="1016" t="s">
        <v>30</v>
      </c>
    </row>
    <row r="85" spans="1:17" x14ac:dyDescent="0.3">
      <c r="A85" s="1038"/>
      <c r="B85" s="1049"/>
      <c r="C85" s="985"/>
      <c r="D85" s="1046"/>
      <c r="E85" s="1046"/>
      <c r="G85" s="1041"/>
      <c r="H85" s="1029"/>
      <c r="I85" s="1008"/>
      <c r="J85" s="1008"/>
      <c r="K85" s="640"/>
      <c r="L85" s="686"/>
      <c r="M85" s="686"/>
      <c r="N85" s="686"/>
      <c r="O85" s="686"/>
      <c r="P85" s="1020"/>
      <c r="Q85" s="1017"/>
    </row>
    <row r="86" spans="1:17" x14ac:dyDescent="0.3">
      <c r="A86" s="1038"/>
      <c r="B86" s="1049"/>
      <c r="C86" s="985"/>
      <c r="D86" s="1046"/>
      <c r="E86" s="1046"/>
      <c r="G86" s="1041"/>
      <c r="H86" s="1029"/>
      <c r="I86" s="1008"/>
      <c r="J86" s="1008"/>
      <c r="K86" s="640"/>
      <c r="L86" s="686"/>
      <c r="M86" s="686"/>
      <c r="N86" s="686"/>
      <c r="O86" s="686"/>
      <c r="P86" s="1020"/>
      <c r="Q86" s="1017"/>
    </row>
    <row r="87" spans="1:17" x14ac:dyDescent="0.3">
      <c r="A87" s="1038"/>
      <c r="B87" s="1049"/>
      <c r="C87" s="985"/>
      <c r="D87" s="1046"/>
      <c r="E87" s="1046"/>
      <c r="G87" s="1041"/>
      <c r="H87" s="1029"/>
      <c r="I87" s="1008"/>
      <c r="J87" s="1008"/>
      <c r="K87" s="637" t="s">
        <v>77</v>
      </c>
      <c r="L87" s="686"/>
      <c r="M87" s="686"/>
      <c r="N87" s="686"/>
      <c r="O87" s="686"/>
      <c r="P87" s="1020"/>
      <c r="Q87" s="1017"/>
    </row>
    <row r="88" spans="1:17" x14ac:dyDescent="0.3">
      <c r="A88" s="1038"/>
      <c r="B88" s="1049"/>
      <c r="C88" s="985"/>
      <c r="D88" s="1046"/>
      <c r="E88" s="1046"/>
      <c r="G88" s="1041"/>
      <c r="H88" s="1029"/>
      <c r="I88" s="1008"/>
      <c r="J88" s="1008"/>
      <c r="K88" s="640"/>
      <c r="L88" s="686"/>
      <c r="M88" s="686"/>
      <c r="N88" s="686"/>
      <c r="O88" s="686"/>
      <c r="P88" s="1020"/>
      <c r="Q88" s="1017"/>
    </row>
    <row r="89" spans="1:17" x14ac:dyDescent="0.3">
      <c r="A89" s="1038"/>
      <c r="B89" s="1049"/>
      <c r="C89" s="985"/>
      <c r="D89" s="1046"/>
      <c r="E89" s="1046"/>
      <c r="G89" s="1041"/>
      <c r="H89" s="1029"/>
      <c r="I89" s="1008"/>
      <c r="J89" s="1008"/>
      <c r="K89" s="640"/>
      <c r="L89" s="686"/>
      <c r="M89" s="686"/>
      <c r="N89" s="686"/>
      <c r="O89" s="686"/>
      <c r="P89" s="1020"/>
      <c r="Q89" s="1017"/>
    </row>
    <row r="90" spans="1:17" ht="15" thickBot="1" x14ac:dyDescent="0.35">
      <c r="A90" s="1039"/>
      <c r="B90" s="1050"/>
      <c r="C90" s="1044"/>
      <c r="D90" s="1047"/>
      <c r="E90" s="1047"/>
      <c r="F90" s="11"/>
      <c r="G90" s="1042"/>
      <c r="H90" s="1030"/>
      <c r="I90" s="1009"/>
      <c r="J90" s="1009"/>
      <c r="K90" s="641"/>
      <c r="L90" s="687"/>
      <c r="M90" s="687"/>
      <c r="N90" s="687"/>
      <c r="O90" s="687"/>
      <c r="P90" s="1021"/>
      <c r="Q90" s="1018"/>
    </row>
    <row r="91" spans="1:17" ht="15" thickBot="1" x14ac:dyDescent="0.35">
      <c r="D91" s="153"/>
      <c r="E91" s="1"/>
      <c r="L91" s="607"/>
      <c r="M91" s="510"/>
      <c r="N91" s="510"/>
      <c r="O91" s="584"/>
    </row>
    <row r="92" spans="1:17" x14ac:dyDescent="0.3">
      <c r="A92" s="1037" t="s">
        <v>97</v>
      </c>
      <c r="B92" s="1048" t="s">
        <v>98</v>
      </c>
      <c r="C92" s="1043"/>
      <c r="D92" s="1045" t="s">
        <v>46</v>
      </c>
      <c r="E92" s="1045" t="s">
        <v>47</v>
      </c>
      <c r="F92" s="2"/>
      <c r="G92" s="1040">
        <f>SUM('ENSEMBLE PALETTE OPTIMISEE'!E3)</f>
        <v>13.217306899999997</v>
      </c>
      <c r="H92" s="1028" t="s">
        <v>41</v>
      </c>
      <c r="I92" s="1007" t="s">
        <v>99</v>
      </c>
      <c r="J92" s="1022" t="s">
        <v>100</v>
      </c>
      <c r="K92" s="642"/>
      <c r="L92" s="679"/>
      <c r="M92" s="679"/>
      <c r="N92" s="679"/>
      <c r="O92" s="679"/>
      <c r="P92" s="1013">
        <v>515</v>
      </c>
      <c r="Q92" s="1016" t="s">
        <v>30</v>
      </c>
    </row>
    <row r="93" spans="1:17" x14ac:dyDescent="0.3">
      <c r="A93" s="1038"/>
      <c r="B93" s="1049"/>
      <c r="C93" s="985"/>
      <c r="D93" s="1046"/>
      <c r="E93" s="1046"/>
      <c r="G93" s="1041"/>
      <c r="H93" s="1029"/>
      <c r="I93" s="1008"/>
      <c r="J93" s="1023"/>
      <c r="K93" s="643"/>
      <c r="L93" s="680"/>
      <c r="M93" s="680"/>
      <c r="N93" s="680"/>
      <c r="O93" s="680"/>
      <c r="P93" s="1014"/>
      <c r="Q93" s="1017"/>
    </row>
    <row r="94" spans="1:17" x14ac:dyDescent="0.3">
      <c r="A94" s="1038"/>
      <c r="B94" s="1049"/>
      <c r="C94" s="985"/>
      <c r="D94" s="1046"/>
      <c r="E94" s="1046"/>
      <c r="G94" s="1041"/>
      <c r="H94" s="1029"/>
      <c r="I94" s="1008"/>
      <c r="J94" s="1023"/>
      <c r="K94" s="643" t="s">
        <v>101</v>
      </c>
      <c r="L94" s="680"/>
      <c r="M94" s="680"/>
      <c r="N94" s="680"/>
      <c r="O94" s="680"/>
      <c r="P94" s="1014"/>
      <c r="Q94" s="1017"/>
    </row>
    <row r="95" spans="1:17" x14ac:dyDescent="0.3">
      <c r="A95" s="1038"/>
      <c r="B95" s="1049"/>
      <c r="C95" s="985"/>
      <c r="D95" s="1046"/>
      <c r="E95" s="1046"/>
      <c r="G95" s="1041"/>
      <c r="H95" s="1029"/>
      <c r="I95" s="1008"/>
      <c r="J95" s="1023"/>
      <c r="K95" s="711" t="s">
        <v>51</v>
      </c>
      <c r="L95" s="680"/>
      <c r="M95" s="680"/>
      <c r="N95" s="680"/>
      <c r="O95" s="680"/>
      <c r="P95" s="1014"/>
      <c r="Q95" s="1017"/>
    </row>
    <row r="96" spans="1:17" x14ac:dyDescent="0.3">
      <c r="A96" s="1038"/>
      <c r="B96" s="1049"/>
      <c r="C96" s="985"/>
      <c r="D96" s="1046"/>
      <c r="E96" s="1046"/>
      <c r="G96" s="1041"/>
      <c r="H96" s="1029"/>
      <c r="I96" s="1008"/>
      <c r="J96" s="1023"/>
      <c r="K96" s="643"/>
      <c r="L96" s="680"/>
      <c r="M96" s="680"/>
      <c r="N96" s="680"/>
      <c r="O96" s="680"/>
      <c r="P96" s="1014"/>
      <c r="Q96" s="1017"/>
    </row>
    <row r="97" spans="1:17" x14ac:dyDescent="0.3">
      <c r="A97" s="1038"/>
      <c r="B97" s="1049"/>
      <c r="C97" s="985"/>
      <c r="D97" s="1046"/>
      <c r="E97" s="1046"/>
      <c r="G97" s="1041"/>
      <c r="H97" s="1029"/>
      <c r="I97" s="1008"/>
      <c r="J97" s="1023"/>
      <c r="K97" s="643"/>
      <c r="L97" s="680"/>
      <c r="M97" s="680"/>
      <c r="N97" s="680"/>
      <c r="O97" s="680"/>
      <c r="P97" s="1014"/>
      <c r="Q97" s="1017"/>
    </row>
    <row r="98" spans="1:17" ht="15" thickBot="1" x14ac:dyDescent="0.35">
      <c r="A98" s="1039"/>
      <c r="B98" s="1050"/>
      <c r="C98" s="1044"/>
      <c r="D98" s="1047"/>
      <c r="E98" s="1047"/>
      <c r="F98" s="11"/>
      <c r="G98" s="1042"/>
      <c r="H98" s="1030"/>
      <c r="I98" s="1009"/>
      <c r="J98" s="1024"/>
      <c r="K98" s="644"/>
      <c r="L98" s="681"/>
      <c r="M98" s="681"/>
      <c r="N98" s="681"/>
      <c r="O98" s="681"/>
      <c r="P98" s="1015"/>
      <c r="Q98" s="1018"/>
    </row>
    <row r="99" spans="1:17" ht="15" thickBot="1" x14ac:dyDescent="0.35">
      <c r="D99" s="153"/>
      <c r="E99" s="1"/>
      <c r="L99" s="607"/>
      <c r="M99" s="510"/>
      <c r="N99" s="510"/>
      <c r="O99" s="584"/>
    </row>
    <row r="100" spans="1:17" x14ac:dyDescent="0.3">
      <c r="A100" s="1037" t="s">
        <v>102</v>
      </c>
      <c r="B100" s="1048" t="s">
        <v>103</v>
      </c>
      <c r="C100" s="1043"/>
      <c r="D100" s="1045" t="s">
        <v>90</v>
      </c>
      <c r="E100" s="1045" t="s">
        <v>80</v>
      </c>
      <c r="F100" s="2"/>
      <c r="G100" s="1040">
        <f>SUM('ACCOUDOIR ALLEE'!E3)</f>
        <v>3.8082376999999994</v>
      </c>
      <c r="H100" s="1028" t="s">
        <v>104</v>
      </c>
      <c r="I100" s="1007" t="s">
        <v>66</v>
      </c>
      <c r="J100" s="1022" t="s">
        <v>67</v>
      </c>
      <c r="K100" s="642"/>
      <c r="L100" s="679"/>
      <c r="M100" s="679"/>
      <c r="N100" s="679"/>
      <c r="O100" s="679"/>
      <c r="P100" s="1013">
        <v>295</v>
      </c>
      <c r="Q100" s="1016" t="s">
        <v>30</v>
      </c>
    </row>
    <row r="101" spans="1:17" x14ac:dyDescent="0.3">
      <c r="A101" s="1038"/>
      <c r="B101" s="1049"/>
      <c r="C101" s="985"/>
      <c r="D101" s="1046"/>
      <c r="E101" s="1046"/>
      <c r="G101" s="1041"/>
      <c r="H101" s="1029"/>
      <c r="I101" s="1008"/>
      <c r="J101" s="1023"/>
      <c r="K101" s="643"/>
      <c r="L101" s="680"/>
      <c r="M101" s="680"/>
      <c r="N101" s="680"/>
      <c r="O101" s="680"/>
      <c r="P101" s="1014"/>
      <c r="Q101" s="1017"/>
    </row>
    <row r="102" spans="1:17" x14ac:dyDescent="0.3">
      <c r="A102" s="1038"/>
      <c r="B102" s="1049"/>
      <c r="C102" s="985"/>
      <c r="D102" s="1046"/>
      <c r="E102" s="1046"/>
      <c r="G102" s="1041"/>
      <c r="H102" s="1029"/>
      <c r="I102" s="1008"/>
      <c r="J102" s="1023"/>
      <c r="K102" s="711" t="s">
        <v>51</v>
      </c>
      <c r="L102" s="680"/>
      <c r="M102" s="680"/>
      <c r="N102" s="680"/>
      <c r="O102" s="680"/>
      <c r="P102" s="1014"/>
      <c r="Q102" s="1017"/>
    </row>
    <row r="103" spans="1:17" x14ac:dyDescent="0.3">
      <c r="A103" s="1038"/>
      <c r="B103" s="1049"/>
      <c r="C103" s="985"/>
      <c r="D103" s="1046"/>
      <c r="E103" s="1046"/>
      <c r="G103" s="1041"/>
      <c r="H103" s="1029"/>
      <c r="I103" s="1008"/>
      <c r="J103" s="1023"/>
      <c r="K103" s="637" t="s">
        <v>77</v>
      </c>
      <c r="L103" s="680"/>
      <c r="M103" s="680"/>
      <c r="N103" s="680"/>
      <c r="O103" s="680"/>
      <c r="P103" s="1014"/>
      <c r="Q103" s="1017"/>
    </row>
    <row r="104" spans="1:17" x14ac:dyDescent="0.3">
      <c r="A104" s="1038"/>
      <c r="B104" s="1049"/>
      <c r="C104" s="985"/>
      <c r="D104" s="1046"/>
      <c r="E104" s="1046"/>
      <c r="G104" s="1041"/>
      <c r="H104" s="1029"/>
      <c r="I104" s="1008"/>
      <c r="J104" s="1023"/>
      <c r="K104" s="643"/>
      <c r="L104" s="680"/>
      <c r="M104" s="680"/>
      <c r="N104" s="680"/>
      <c r="O104" s="680"/>
      <c r="P104" s="1014"/>
      <c r="Q104" s="1017"/>
    </row>
    <row r="105" spans="1:17" x14ac:dyDescent="0.3">
      <c r="A105" s="1038"/>
      <c r="B105" s="1049"/>
      <c r="C105" s="985"/>
      <c r="D105" s="1046"/>
      <c r="E105" s="1046"/>
      <c r="G105" s="1041"/>
      <c r="H105" s="1029"/>
      <c r="I105" s="1008"/>
      <c r="J105" s="1023"/>
      <c r="K105" s="643"/>
      <c r="L105" s="680"/>
      <c r="M105" s="680"/>
      <c r="N105" s="680"/>
      <c r="O105" s="680"/>
      <c r="P105" s="1014"/>
      <c r="Q105" s="1017"/>
    </row>
    <row r="106" spans="1:17" ht="15" thickBot="1" x14ac:dyDescent="0.35">
      <c r="A106" s="1039"/>
      <c r="B106" s="1050"/>
      <c r="C106" s="1044"/>
      <c r="D106" s="1047"/>
      <c r="E106" s="1047"/>
      <c r="F106" s="11"/>
      <c r="G106" s="1042"/>
      <c r="H106" s="1030"/>
      <c r="I106" s="1009"/>
      <c r="J106" s="1024"/>
      <c r="K106" s="644"/>
      <c r="L106" s="681"/>
      <c r="M106" s="681"/>
      <c r="N106" s="681"/>
      <c r="O106" s="681"/>
      <c r="P106" s="1015"/>
      <c r="Q106" s="1018"/>
    </row>
    <row r="107" spans="1:17" ht="15" thickBot="1" x14ac:dyDescent="0.35">
      <c r="D107" s="153"/>
      <c r="E107" s="1"/>
      <c r="L107" s="607"/>
      <c r="M107" s="510"/>
      <c r="N107" s="510"/>
      <c r="O107" s="584"/>
    </row>
    <row r="108" spans="1:17" x14ac:dyDescent="0.3">
      <c r="A108" s="1037" t="s">
        <v>105</v>
      </c>
      <c r="B108" s="1048" t="s">
        <v>106</v>
      </c>
      <c r="C108" s="1043"/>
      <c r="D108" s="1045" t="s">
        <v>107</v>
      </c>
      <c r="E108" s="1045" t="s">
        <v>108</v>
      </c>
      <c r="F108" s="2"/>
      <c r="G108" s="1040">
        <f>SUM('BUMPER VERSION PORTE'!E4)</f>
        <v>0.20499999999999999</v>
      </c>
      <c r="H108" s="1034" t="s">
        <v>107</v>
      </c>
      <c r="I108" s="1007" t="s">
        <v>109</v>
      </c>
      <c r="J108" s="1016" t="s">
        <v>110</v>
      </c>
      <c r="K108" s="636"/>
      <c r="L108" s="685"/>
      <c r="M108" s="685"/>
      <c r="N108" s="685"/>
      <c r="O108" s="685"/>
      <c r="P108" s="1019">
        <v>415</v>
      </c>
      <c r="Q108" s="1016" t="s">
        <v>30</v>
      </c>
    </row>
    <row r="109" spans="1:17" x14ac:dyDescent="0.3">
      <c r="A109" s="1038"/>
      <c r="B109" s="1049"/>
      <c r="C109" s="985"/>
      <c r="D109" s="1046"/>
      <c r="E109" s="1046"/>
      <c r="G109" s="1041"/>
      <c r="H109" s="1035"/>
      <c r="I109" s="1008"/>
      <c r="J109" s="1017"/>
      <c r="K109" s="637"/>
      <c r="L109" s="686"/>
      <c r="M109" s="686"/>
      <c r="N109" s="686"/>
      <c r="O109" s="686"/>
      <c r="P109" s="1020"/>
      <c r="Q109" s="1017"/>
    </row>
    <row r="110" spans="1:17" x14ac:dyDescent="0.3">
      <c r="A110" s="1038"/>
      <c r="B110" s="1049"/>
      <c r="C110" s="985"/>
      <c r="D110" s="1046"/>
      <c r="E110" s="1046"/>
      <c r="G110" s="1041"/>
      <c r="H110" s="1035"/>
      <c r="I110" s="1008"/>
      <c r="J110" s="1017"/>
      <c r="K110" s="637" t="s">
        <v>111</v>
      </c>
      <c r="L110" s="686"/>
      <c r="M110" s="686"/>
      <c r="N110" s="686"/>
      <c r="O110" s="686"/>
      <c r="P110" s="1020"/>
      <c r="Q110" s="1017"/>
    </row>
    <row r="111" spans="1:17" x14ac:dyDescent="0.3">
      <c r="A111" s="1038"/>
      <c r="B111" s="1049"/>
      <c r="C111" s="985"/>
      <c r="D111" s="1046"/>
      <c r="E111" s="1046"/>
      <c r="G111" s="1041"/>
      <c r="H111" s="1035"/>
      <c r="I111" s="1008"/>
      <c r="J111" s="1017"/>
      <c r="K111" s="637" t="s">
        <v>112</v>
      </c>
      <c r="L111" s="686"/>
      <c r="M111" s="686"/>
      <c r="N111" s="686"/>
      <c r="O111" s="686"/>
      <c r="P111" s="1020"/>
      <c r="Q111" s="1017"/>
    </row>
    <row r="112" spans="1:17" x14ac:dyDescent="0.3">
      <c r="A112" s="1038"/>
      <c r="B112" s="1049"/>
      <c r="C112" s="985"/>
      <c r="D112" s="1046"/>
      <c r="E112" s="1046"/>
      <c r="G112" s="1041"/>
      <c r="H112" s="1035"/>
      <c r="I112" s="1008"/>
      <c r="J112" s="1017"/>
      <c r="K112" s="637"/>
      <c r="L112" s="686"/>
      <c r="M112" s="686"/>
      <c r="N112" s="686"/>
      <c r="O112" s="686"/>
      <c r="P112" s="1020"/>
      <c r="Q112" s="1017"/>
    </row>
    <row r="113" spans="1:17" x14ac:dyDescent="0.3">
      <c r="A113" s="1038"/>
      <c r="B113" s="1049"/>
      <c r="C113" s="985"/>
      <c r="D113" s="1046"/>
      <c r="E113" s="1046"/>
      <c r="G113" s="1041"/>
      <c r="H113" s="1035"/>
      <c r="I113" s="1008"/>
      <c r="J113" s="1017"/>
      <c r="K113" s="637"/>
      <c r="L113" s="686"/>
      <c r="M113" s="686"/>
      <c r="N113" s="686"/>
      <c r="O113" s="686"/>
      <c r="P113" s="1020"/>
      <c r="Q113" s="1017"/>
    </row>
    <row r="114" spans="1:17" ht="15" thickBot="1" x14ac:dyDescent="0.35">
      <c r="A114" s="1039"/>
      <c r="B114" s="1050"/>
      <c r="C114" s="1044"/>
      <c r="D114" s="1047"/>
      <c r="E114" s="1047"/>
      <c r="F114" s="11"/>
      <c r="G114" s="1042"/>
      <c r="H114" s="1036"/>
      <c r="I114" s="1009"/>
      <c r="J114" s="1018"/>
      <c r="K114" s="638"/>
      <c r="L114" s="687"/>
      <c r="M114" s="687"/>
      <c r="N114" s="687"/>
      <c r="O114" s="687"/>
      <c r="P114" s="1021"/>
      <c r="Q114" s="1018"/>
    </row>
    <row r="115" spans="1:17" ht="15" thickBot="1" x14ac:dyDescent="0.35">
      <c r="D115" s="153"/>
      <c r="E115" s="1"/>
      <c r="L115" s="607"/>
      <c r="M115" s="510"/>
      <c r="N115" s="510"/>
      <c r="O115" s="584"/>
    </row>
    <row r="116" spans="1:17" x14ac:dyDescent="0.3">
      <c r="A116" s="1037" t="s">
        <v>113</v>
      </c>
      <c r="B116" s="1048" t="s">
        <v>114</v>
      </c>
      <c r="C116" s="1043"/>
      <c r="D116" s="1045" t="s">
        <v>90</v>
      </c>
      <c r="E116" s="1045" t="s">
        <v>91</v>
      </c>
      <c r="F116" s="2"/>
      <c r="G116" s="1040">
        <f>SUM('STRUCTURE OTTOMAN (horizontale)'!E3)</f>
        <v>1.9949167999999999</v>
      </c>
      <c r="H116" s="1028" t="s">
        <v>115</v>
      </c>
      <c r="I116" s="1007" t="s">
        <v>75</v>
      </c>
      <c r="J116" s="1022" t="s">
        <v>76</v>
      </c>
      <c r="K116" s="642"/>
      <c r="L116" s="679"/>
      <c r="M116" s="679"/>
      <c r="N116" s="679"/>
      <c r="O116" s="679"/>
      <c r="P116" s="1013">
        <v>151</v>
      </c>
      <c r="Q116" s="1016" t="s">
        <v>30</v>
      </c>
    </row>
    <row r="117" spans="1:17" x14ac:dyDescent="0.3">
      <c r="A117" s="1038"/>
      <c r="B117" s="1049"/>
      <c r="C117" s="985"/>
      <c r="D117" s="1046"/>
      <c r="E117" s="1046"/>
      <c r="G117" s="1041"/>
      <c r="H117" s="1029"/>
      <c r="I117" s="1008"/>
      <c r="J117" s="1023"/>
      <c r="K117" s="643"/>
      <c r="L117" s="680"/>
      <c r="M117" s="680"/>
      <c r="N117" s="680"/>
      <c r="O117" s="680"/>
      <c r="P117" s="1014"/>
      <c r="Q117" s="1017"/>
    </row>
    <row r="118" spans="1:17" x14ac:dyDescent="0.3">
      <c r="A118" s="1038"/>
      <c r="B118" s="1049"/>
      <c r="C118" s="985"/>
      <c r="D118" s="1046"/>
      <c r="E118" s="1046"/>
      <c r="G118" s="1041"/>
      <c r="H118" s="1029"/>
      <c r="I118" s="1008"/>
      <c r="J118" s="1023"/>
      <c r="K118" s="643"/>
      <c r="L118" s="680"/>
      <c r="M118" s="680"/>
      <c r="N118" s="680"/>
      <c r="O118" s="680"/>
      <c r="P118" s="1014"/>
      <c r="Q118" s="1017"/>
    </row>
    <row r="119" spans="1:17" x14ac:dyDescent="0.3">
      <c r="A119" s="1038"/>
      <c r="B119" s="1049"/>
      <c r="C119" s="985"/>
      <c r="D119" s="1046"/>
      <c r="E119" s="1046"/>
      <c r="G119" s="1041"/>
      <c r="H119" s="1029"/>
      <c r="I119" s="1008"/>
      <c r="J119" s="1023"/>
      <c r="K119" s="643"/>
      <c r="L119" s="680"/>
      <c r="M119" s="680"/>
      <c r="N119" s="680"/>
      <c r="O119" s="680"/>
      <c r="P119" s="1014"/>
      <c r="Q119" s="1017"/>
    </row>
    <row r="120" spans="1:17" x14ac:dyDescent="0.3">
      <c r="A120" s="1038"/>
      <c r="B120" s="1049"/>
      <c r="C120" s="985"/>
      <c r="D120" s="1046"/>
      <c r="E120" s="1046"/>
      <c r="G120" s="1041"/>
      <c r="H120" s="1029"/>
      <c r="I120" s="1008"/>
      <c r="J120" s="1023"/>
      <c r="K120" s="643"/>
      <c r="L120" s="680"/>
      <c r="M120" s="680"/>
      <c r="N120" s="680"/>
      <c r="O120" s="680"/>
      <c r="P120" s="1014"/>
      <c r="Q120" s="1017"/>
    </row>
    <row r="121" spans="1:17" x14ac:dyDescent="0.3">
      <c r="A121" s="1038"/>
      <c r="B121" s="1049"/>
      <c r="C121" s="985"/>
      <c r="D121" s="1046"/>
      <c r="E121" s="1046"/>
      <c r="G121" s="1041"/>
      <c r="H121" s="1029"/>
      <c r="I121" s="1008"/>
      <c r="J121" s="1023"/>
      <c r="K121" s="643"/>
      <c r="L121" s="680"/>
      <c r="M121" s="680"/>
      <c r="N121" s="680"/>
      <c r="O121" s="680"/>
      <c r="P121" s="1014"/>
      <c r="Q121" s="1017"/>
    </row>
    <row r="122" spans="1:17" ht="15" thickBot="1" x14ac:dyDescent="0.35">
      <c r="A122" s="1039"/>
      <c r="B122" s="1050"/>
      <c r="C122" s="1044"/>
      <c r="D122" s="1047"/>
      <c r="E122" s="1047"/>
      <c r="F122" s="11"/>
      <c r="G122" s="1042"/>
      <c r="H122" s="1030"/>
      <c r="I122" s="1009"/>
      <c r="J122" s="1024"/>
      <c r="K122" s="644"/>
      <c r="L122" s="681"/>
      <c r="M122" s="681"/>
      <c r="N122" s="681"/>
      <c r="O122" s="681"/>
      <c r="P122" s="1015"/>
      <c r="Q122" s="1018"/>
    </row>
    <row r="123" spans="1:17" ht="15" thickBot="1" x14ac:dyDescent="0.35">
      <c r="D123" s="153"/>
      <c r="E123" s="1"/>
      <c r="L123" s="607"/>
      <c r="M123" s="510"/>
      <c r="N123" s="510"/>
      <c r="O123" s="584"/>
    </row>
    <row r="124" spans="1:17" x14ac:dyDescent="0.3">
      <c r="A124" s="1037" t="s">
        <v>116</v>
      </c>
      <c r="B124" s="1048" t="s">
        <v>117</v>
      </c>
      <c r="C124" s="1043"/>
      <c r="D124" s="1045" t="s">
        <v>90</v>
      </c>
      <c r="E124" s="1045" t="s">
        <v>91</v>
      </c>
      <c r="F124" s="2"/>
      <c r="G124" s="1040">
        <f>SUM('SUPPORT EQUIPE'!E4)</f>
        <v>0.10200000000000001</v>
      </c>
      <c r="H124" s="1028" t="s">
        <v>115</v>
      </c>
      <c r="I124" s="1007" t="s">
        <v>93</v>
      </c>
      <c r="J124" s="1007" t="s">
        <v>94</v>
      </c>
      <c r="K124" s="639"/>
      <c r="L124" s="685"/>
      <c r="M124" s="685"/>
      <c r="N124" s="685"/>
      <c r="O124" s="685"/>
      <c r="P124" s="1019">
        <v>240</v>
      </c>
      <c r="Q124" s="1016" t="s">
        <v>30</v>
      </c>
    </row>
    <row r="125" spans="1:17" x14ac:dyDescent="0.3">
      <c r="A125" s="1038"/>
      <c r="B125" s="1049"/>
      <c r="C125" s="985"/>
      <c r="D125" s="1046"/>
      <c r="E125" s="1046"/>
      <c r="G125" s="1041"/>
      <c r="H125" s="1029"/>
      <c r="I125" s="1008"/>
      <c r="J125" s="1008"/>
      <c r="K125" s="640"/>
      <c r="L125" s="686"/>
      <c r="M125" s="686"/>
      <c r="N125" s="686"/>
      <c r="O125" s="686"/>
      <c r="P125" s="1020"/>
      <c r="Q125" s="1017"/>
    </row>
    <row r="126" spans="1:17" x14ac:dyDescent="0.3">
      <c r="A126" s="1038"/>
      <c r="B126" s="1049"/>
      <c r="C126" s="985"/>
      <c r="D126" s="1046"/>
      <c r="E126" s="1046"/>
      <c r="G126" s="1041"/>
      <c r="H126" s="1029"/>
      <c r="I126" s="1008"/>
      <c r="J126" s="1008"/>
      <c r="K126" s="640"/>
      <c r="L126" s="686"/>
      <c r="M126" s="686"/>
      <c r="N126" s="686"/>
      <c r="O126" s="686"/>
      <c r="P126" s="1020"/>
      <c r="Q126" s="1017"/>
    </row>
    <row r="127" spans="1:17" x14ac:dyDescent="0.3">
      <c r="A127" s="1038"/>
      <c r="B127" s="1049"/>
      <c r="C127" s="985"/>
      <c r="D127" s="1046"/>
      <c r="E127" s="1046"/>
      <c r="G127" s="1041"/>
      <c r="H127" s="1029"/>
      <c r="I127" s="1008"/>
      <c r="J127" s="1008"/>
      <c r="K127" s="640"/>
      <c r="L127" s="686"/>
      <c r="M127" s="686"/>
      <c r="N127" s="686"/>
      <c r="O127" s="686"/>
      <c r="P127" s="1020"/>
      <c r="Q127" s="1017"/>
    </row>
    <row r="128" spans="1:17" x14ac:dyDescent="0.3">
      <c r="A128" s="1038"/>
      <c r="B128" s="1049"/>
      <c r="C128" s="985"/>
      <c r="D128" s="1046"/>
      <c r="E128" s="1046"/>
      <c r="G128" s="1041"/>
      <c r="H128" s="1029"/>
      <c r="I128" s="1008"/>
      <c r="J128" s="1008"/>
      <c r="K128" s="640"/>
      <c r="L128" s="686"/>
      <c r="M128" s="686"/>
      <c r="N128" s="686"/>
      <c r="O128" s="686"/>
      <c r="P128" s="1020"/>
      <c r="Q128" s="1017"/>
    </row>
    <row r="129" spans="1:18" x14ac:dyDescent="0.3">
      <c r="A129" s="1038"/>
      <c r="B129" s="1049"/>
      <c r="C129" s="985"/>
      <c r="D129" s="1046"/>
      <c r="E129" s="1046"/>
      <c r="G129" s="1041"/>
      <c r="H129" s="1029"/>
      <c r="I129" s="1008"/>
      <c r="J129" s="1008"/>
      <c r="K129" s="640"/>
      <c r="L129" s="686"/>
      <c r="M129" s="686"/>
      <c r="N129" s="686"/>
      <c r="O129" s="686"/>
      <c r="P129" s="1020"/>
      <c r="Q129" s="1017"/>
    </row>
    <row r="130" spans="1:18" ht="15" thickBot="1" x14ac:dyDescent="0.35">
      <c r="A130" s="1039"/>
      <c r="B130" s="1050"/>
      <c r="C130" s="1044"/>
      <c r="D130" s="1047"/>
      <c r="E130" s="1047"/>
      <c r="F130" s="11"/>
      <c r="G130" s="1042"/>
      <c r="H130" s="1030"/>
      <c r="I130" s="1009"/>
      <c r="J130" s="1009"/>
      <c r="K130" s="641"/>
      <c r="L130" s="687"/>
      <c r="M130" s="687"/>
      <c r="N130" s="687"/>
      <c r="O130" s="687"/>
      <c r="P130" s="1021"/>
      <c r="Q130" s="1018"/>
    </row>
    <row r="131" spans="1:18" ht="15" thickBot="1" x14ac:dyDescent="0.35">
      <c r="D131" s="153"/>
      <c r="E131" s="1"/>
      <c r="L131" s="607"/>
      <c r="M131" s="510"/>
      <c r="N131" s="510"/>
      <c r="O131" s="584"/>
    </row>
    <row r="132" spans="1:18" x14ac:dyDescent="0.3">
      <c r="A132" s="1037" t="s">
        <v>118</v>
      </c>
      <c r="B132" s="1048" t="s">
        <v>119</v>
      </c>
      <c r="C132" s="1043"/>
      <c r="D132" s="1045" t="s">
        <v>90</v>
      </c>
      <c r="E132" s="1045" t="s">
        <v>120</v>
      </c>
      <c r="F132" s="2"/>
      <c r="G132" s="1040">
        <f>SUM('ENS STOWAGE LATERAL'!E3)</f>
        <v>1.6545789000000002</v>
      </c>
      <c r="H132" s="1034" t="s">
        <v>90</v>
      </c>
      <c r="I132" s="1007" t="s">
        <v>66</v>
      </c>
      <c r="J132" s="1022" t="s">
        <v>67</v>
      </c>
      <c r="K132" s="642"/>
      <c r="L132" s="679"/>
      <c r="M132" s="679"/>
      <c r="N132" s="679"/>
      <c r="O132" s="679"/>
      <c r="P132" s="1013">
        <v>295</v>
      </c>
      <c r="Q132" s="1016" t="s">
        <v>30</v>
      </c>
    </row>
    <row r="133" spans="1:18" x14ac:dyDescent="0.3">
      <c r="A133" s="1038"/>
      <c r="B133" s="1049"/>
      <c r="C133" s="985"/>
      <c r="D133" s="1046"/>
      <c r="E133" s="1046"/>
      <c r="G133" s="1041"/>
      <c r="H133" s="1035"/>
      <c r="I133" s="1008"/>
      <c r="J133" s="1023"/>
      <c r="K133" s="643"/>
      <c r="L133" s="680"/>
      <c r="M133" s="680"/>
      <c r="N133" s="680"/>
      <c r="O133" s="680"/>
      <c r="P133" s="1014"/>
      <c r="Q133" s="1017"/>
    </row>
    <row r="134" spans="1:18" x14ac:dyDescent="0.3">
      <c r="A134" s="1038"/>
      <c r="B134" s="1049"/>
      <c r="C134" s="985"/>
      <c r="D134" s="1046"/>
      <c r="E134" s="1046"/>
      <c r="G134" s="1041"/>
      <c r="H134" s="1035"/>
      <c r="I134" s="1008"/>
      <c r="J134" s="1023"/>
      <c r="K134" s="711" t="s">
        <v>51</v>
      </c>
      <c r="L134" s="680"/>
      <c r="M134" s="680"/>
      <c r="N134" s="680"/>
      <c r="O134" s="680"/>
      <c r="P134" s="1014"/>
      <c r="Q134" s="1017"/>
    </row>
    <row r="135" spans="1:18" x14ac:dyDescent="0.3">
      <c r="A135" s="1038"/>
      <c r="B135" s="1049"/>
      <c r="C135" s="985"/>
      <c r="D135" s="1046"/>
      <c r="E135" s="1046"/>
      <c r="G135" s="1041"/>
      <c r="H135" s="1035"/>
      <c r="I135" s="1008"/>
      <c r="J135" s="1023"/>
      <c r="K135" s="643" t="s">
        <v>121</v>
      </c>
      <c r="L135" s="680"/>
      <c r="M135" s="680"/>
      <c r="N135" s="680"/>
      <c r="O135" s="680"/>
      <c r="P135" s="1014"/>
      <c r="Q135" s="1017"/>
    </row>
    <row r="136" spans="1:18" x14ac:dyDescent="0.3">
      <c r="A136" s="1038"/>
      <c r="B136" s="1049"/>
      <c r="C136" s="985"/>
      <c r="D136" s="1046"/>
      <c r="E136" s="1046"/>
      <c r="G136" s="1041"/>
      <c r="H136" s="1035"/>
      <c r="I136" s="1008"/>
      <c r="J136" s="1023"/>
      <c r="K136" s="643"/>
      <c r="L136" s="680"/>
      <c r="M136" s="680"/>
      <c r="N136" s="680"/>
      <c r="O136" s="680"/>
      <c r="P136" s="1014"/>
      <c r="Q136" s="1017"/>
    </row>
    <row r="137" spans="1:18" x14ac:dyDescent="0.3">
      <c r="A137" s="1038"/>
      <c r="B137" s="1049"/>
      <c r="C137" s="985"/>
      <c r="D137" s="1046"/>
      <c r="E137" s="1046"/>
      <c r="G137" s="1041"/>
      <c r="H137" s="1035"/>
      <c r="I137" s="1008"/>
      <c r="J137" s="1023"/>
      <c r="K137" s="643"/>
      <c r="L137" s="680"/>
      <c r="M137" s="680"/>
      <c r="N137" s="680"/>
      <c r="O137" s="680"/>
      <c r="P137" s="1014"/>
      <c r="Q137" s="1017"/>
    </row>
    <row r="138" spans="1:18" ht="15" thickBot="1" x14ac:dyDescent="0.35">
      <c r="A138" s="1039"/>
      <c r="B138" s="1050"/>
      <c r="C138" s="1044"/>
      <c r="D138" s="1047"/>
      <c r="E138" s="1047"/>
      <c r="F138" s="11"/>
      <c r="G138" s="1042"/>
      <c r="H138" s="1036"/>
      <c r="I138" s="1009"/>
      <c r="J138" s="1024"/>
      <c r="K138" s="644"/>
      <c r="L138" s="681"/>
      <c r="M138" s="681"/>
      <c r="N138" s="681"/>
      <c r="O138" s="681"/>
      <c r="P138" s="1015"/>
      <c r="Q138" s="1018"/>
    </row>
    <row r="139" spans="1:18" ht="15" thickBot="1" x14ac:dyDescent="0.35">
      <c r="D139" s="153"/>
      <c r="E139" s="1"/>
      <c r="L139" s="607"/>
      <c r="M139" s="510"/>
      <c r="N139" s="510"/>
      <c r="O139" s="584"/>
    </row>
    <row r="140" spans="1:18" x14ac:dyDescent="0.3">
      <c r="A140" s="1037" t="s">
        <v>122</v>
      </c>
      <c r="B140" s="1048" t="s">
        <v>123</v>
      </c>
      <c r="C140" s="1043"/>
      <c r="D140" s="1045" t="s">
        <v>124</v>
      </c>
      <c r="E140" s="1045" t="s">
        <v>125</v>
      </c>
      <c r="F140" s="2"/>
      <c r="G140" s="1040">
        <f>SUM('MANCHETTE ACC MOBILE'!E4)</f>
        <v>0.184</v>
      </c>
      <c r="H140" s="1028" t="s">
        <v>126</v>
      </c>
      <c r="I140" s="1007" t="s">
        <v>127</v>
      </c>
      <c r="J140" s="1007"/>
      <c r="K140" s="1007" t="s">
        <v>128</v>
      </c>
      <c r="L140" s="688"/>
      <c r="M140" s="688"/>
      <c r="N140" s="688"/>
      <c r="O140" s="688"/>
      <c r="P140" s="1010">
        <v>295</v>
      </c>
      <c r="Q140" s="1007" t="s">
        <v>30</v>
      </c>
      <c r="R140" s="1062" t="s">
        <v>129</v>
      </c>
    </row>
    <row r="141" spans="1:18" ht="15" thickBot="1" x14ac:dyDescent="0.35">
      <c r="A141" s="1038"/>
      <c r="B141" s="1049"/>
      <c r="C141" s="985"/>
      <c r="D141" s="1046"/>
      <c r="E141" s="1046"/>
      <c r="G141" s="1041"/>
      <c r="H141" s="1029"/>
      <c r="I141" s="1009"/>
      <c r="J141" s="1009"/>
      <c r="K141" s="1009"/>
      <c r="L141" s="689"/>
      <c r="M141" s="689"/>
      <c r="N141" s="689"/>
      <c r="O141" s="689"/>
      <c r="P141" s="1011"/>
      <c r="Q141" s="1008"/>
      <c r="R141" s="1063"/>
    </row>
    <row r="142" spans="1:18" x14ac:dyDescent="0.3">
      <c r="A142" s="1038"/>
      <c r="B142" s="1049"/>
      <c r="C142" s="985"/>
      <c r="D142" s="1046"/>
      <c r="E142" s="1046"/>
      <c r="G142" s="1041"/>
      <c r="H142" s="1029"/>
      <c r="I142" s="1007" t="s">
        <v>130</v>
      </c>
      <c r="J142" s="1007"/>
      <c r="K142" s="1007" t="s">
        <v>131</v>
      </c>
      <c r="L142" s="689"/>
      <c r="M142" s="689"/>
      <c r="N142" s="689"/>
      <c r="O142" s="689"/>
      <c r="P142" s="1010"/>
      <c r="Q142" s="1007" t="s">
        <v>132</v>
      </c>
      <c r="R142" s="1063"/>
    </row>
    <row r="143" spans="1:18" x14ac:dyDescent="0.3">
      <c r="A143" s="1038"/>
      <c r="B143" s="1049"/>
      <c r="C143" s="985"/>
      <c r="D143" s="1046"/>
      <c r="E143" s="1046"/>
      <c r="G143" s="1041"/>
      <c r="H143" s="1029"/>
      <c r="I143" s="1008"/>
      <c r="J143" s="1008"/>
      <c r="K143" s="1008"/>
      <c r="L143" s="689"/>
      <c r="M143" s="689"/>
      <c r="N143" s="689"/>
      <c r="O143" s="689"/>
      <c r="P143" s="1012"/>
      <c r="Q143" s="1008"/>
      <c r="R143" s="1063"/>
    </row>
    <row r="144" spans="1:18" ht="15" thickBot="1" x14ac:dyDescent="0.35">
      <c r="A144" s="1038"/>
      <c r="B144" s="1049"/>
      <c r="C144" s="985"/>
      <c r="D144" s="1046"/>
      <c r="E144" s="1046"/>
      <c r="G144" s="1041"/>
      <c r="H144" s="1029"/>
      <c r="I144" s="1009"/>
      <c r="J144" s="1009"/>
      <c r="K144" s="1009"/>
      <c r="L144" s="689"/>
      <c r="M144" s="689"/>
      <c r="N144" s="689"/>
      <c r="O144" s="689"/>
      <c r="P144" s="1011"/>
      <c r="Q144" s="1009"/>
      <c r="R144" s="1063"/>
    </row>
    <row r="145" spans="1:18" x14ac:dyDescent="0.3">
      <c r="A145" s="1038"/>
      <c r="B145" s="1049"/>
      <c r="C145" s="985"/>
      <c r="D145" s="1046"/>
      <c r="E145" s="1046"/>
      <c r="G145" s="1041"/>
      <c r="H145" s="1029"/>
      <c r="I145" s="1007" t="s">
        <v>133</v>
      </c>
      <c r="J145" s="1007"/>
      <c r="K145" s="1007" t="s">
        <v>134</v>
      </c>
      <c r="L145" s="689"/>
      <c r="M145" s="689"/>
      <c r="N145" s="689"/>
      <c r="O145" s="689"/>
      <c r="P145" s="1010"/>
      <c r="Q145" s="1008" t="s">
        <v>44</v>
      </c>
      <c r="R145" s="1063"/>
    </row>
    <row r="146" spans="1:18" ht="15" thickBot="1" x14ac:dyDescent="0.35">
      <c r="A146" s="1039"/>
      <c r="B146" s="1050"/>
      <c r="C146" s="1044"/>
      <c r="D146" s="1047"/>
      <c r="E146" s="1047"/>
      <c r="F146" s="11"/>
      <c r="G146" s="1042"/>
      <c r="H146" s="1030"/>
      <c r="I146" s="1009"/>
      <c r="J146" s="1009"/>
      <c r="K146" s="1009"/>
      <c r="L146" s="690"/>
      <c r="M146" s="690"/>
      <c r="N146" s="690"/>
      <c r="O146" s="690"/>
      <c r="P146" s="1011"/>
      <c r="Q146" s="1009"/>
      <c r="R146" s="1064"/>
    </row>
    <row r="147" spans="1:18" ht="15" thickBot="1" x14ac:dyDescent="0.35">
      <c r="D147" s="153"/>
      <c r="E147" s="1"/>
      <c r="G147" s="107"/>
      <c r="L147" s="607"/>
      <c r="M147" s="510"/>
      <c r="N147" s="510"/>
      <c r="O147" s="584"/>
    </row>
    <row r="148" spans="1:18" x14ac:dyDescent="0.3">
      <c r="A148" s="1037" t="s">
        <v>135</v>
      </c>
      <c r="B148" s="1048" t="s">
        <v>136</v>
      </c>
      <c r="C148" s="1043"/>
      <c r="D148" s="1045" t="s">
        <v>124</v>
      </c>
      <c r="E148" s="1045" t="s">
        <v>125</v>
      </c>
      <c r="F148" s="2"/>
      <c r="G148" s="1040">
        <f>SUM('MANCHETTE EQUIPEE'!E4)</f>
        <v>0.29414950000000006</v>
      </c>
      <c r="H148" s="1028" t="s">
        <v>126</v>
      </c>
      <c r="I148" s="1007" t="s">
        <v>127</v>
      </c>
      <c r="J148" s="1007"/>
      <c r="K148" s="1007" t="s">
        <v>128</v>
      </c>
      <c r="L148" s="676"/>
      <c r="M148" s="676"/>
      <c r="N148" s="676"/>
      <c r="O148" s="676"/>
      <c r="P148" s="1010">
        <v>295</v>
      </c>
      <c r="Q148" s="1007" t="s">
        <v>30</v>
      </c>
      <c r="R148" s="1062" t="s">
        <v>129</v>
      </c>
    </row>
    <row r="149" spans="1:18" ht="15" thickBot="1" x14ac:dyDescent="0.35">
      <c r="A149" s="1038"/>
      <c r="B149" s="1049"/>
      <c r="C149" s="985"/>
      <c r="D149" s="1046"/>
      <c r="E149" s="1046"/>
      <c r="G149" s="1041"/>
      <c r="H149" s="1029"/>
      <c r="I149" s="1009"/>
      <c r="J149" s="1009"/>
      <c r="K149" s="1009"/>
      <c r="L149" s="677"/>
      <c r="M149" s="677"/>
      <c r="N149" s="677"/>
      <c r="O149" s="677"/>
      <c r="P149" s="1011"/>
      <c r="Q149" s="1008"/>
      <c r="R149" s="1063"/>
    </row>
    <row r="150" spans="1:18" x14ac:dyDescent="0.3">
      <c r="A150" s="1038"/>
      <c r="B150" s="1049"/>
      <c r="C150" s="985"/>
      <c r="D150" s="1046"/>
      <c r="E150" s="1046"/>
      <c r="G150" s="1041"/>
      <c r="H150" s="1029"/>
      <c r="I150" s="1007" t="s">
        <v>130</v>
      </c>
      <c r="J150" s="1007"/>
      <c r="K150" s="1007" t="s">
        <v>131</v>
      </c>
      <c r="L150" s="677"/>
      <c r="M150" s="677"/>
      <c r="N150" s="677"/>
      <c r="O150" s="677"/>
      <c r="P150" s="1010"/>
      <c r="Q150" s="1007" t="s">
        <v>132</v>
      </c>
      <c r="R150" s="1063"/>
    </row>
    <row r="151" spans="1:18" x14ac:dyDescent="0.3">
      <c r="A151" s="1038"/>
      <c r="B151" s="1049"/>
      <c r="C151" s="985"/>
      <c r="D151" s="1046"/>
      <c r="E151" s="1046"/>
      <c r="G151" s="1041"/>
      <c r="H151" s="1029"/>
      <c r="I151" s="1008"/>
      <c r="J151" s="1008"/>
      <c r="K151" s="1008"/>
      <c r="L151" s="677"/>
      <c r="M151" s="677"/>
      <c r="N151" s="677"/>
      <c r="O151" s="677"/>
      <c r="P151" s="1012"/>
      <c r="Q151" s="1008"/>
      <c r="R151" s="1063"/>
    </row>
    <row r="152" spans="1:18" ht="15" thickBot="1" x14ac:dyDescent="0.35">
      <c r="A152" s="1038"/>
      <c r="B152" s="1049"/>
      <c r="C152" s="985"/>
      <c r="D152" s="1046"/>
      <c r="E152" s="1046"/>
      <c r="G152" s="1041"/>
      <c r="H152" s="1029"/>
      <c r="I152" s="1009"/>
      <c r="J152" s="1009"/>
      <c r="K152" s="1009"/>
      <c r="L152" s="677"/>
      <c r="M152" s="677"/>
      <c r="N152" s="677"/>
      <c r="O152" s="677"/>
      <c r="P152" s="1011"/>
      <c r="Q152" s="1009"/>
      <c r="R152" s="1063"/>
    </row>
    <row r="153" spans="1:18" x14ac:dyDescent="0.3">
      <c r="A153" s="1038"/>
      <c r="B153" s="1049"/>
      <c r="C153" s="985"/>
      <c r="D153" s="1046"/>
      <c r="E153" s="1046"/>
      <c r="G153" s="1041"/>
      <c r="H153" s="1029"/>
      <c r="I153" s="1007" t="s">
        <v>133</v>
      </c>
      <c r="J153" s="1007"/>
      <c r="K153" s="1007" t="s">
        <v>134</v>
      </c>
      <c r="L153" s="677"/>
      <c r="M153" s="677"/>
      <c r="N153" s="677"/>
      <c r="O153" s="677"/>
      <c r="P153" s="1010"/>
      <c r="Q153" s="1008" t="s">
        <v>44</v>
      </c>
      <c r="R153" s="1063"/>
    </row>
    <row r="154" spans="1:18" ht="15" thickBot="1" x14ac:dyDescent="0.35">
      <c r="A154" s="1039"/>
      <c r="B154" s="1050"/>
      <c r="C154" s="1044"/>
      <c r="D154" s="1047"/>
      <c r="E154" s="1047"/>
      <c r="F154" s="11"/>
      <c r="G154" s="1042"/>
      <c r="H154" s="1030"/>
      <c r="I154" s="1009"/>
      <c r="J154" s="1009"/>
      <c r="K154" s="1009"/>
      <c r="L154" s="678"/>
      <c r="M154" s="678"/>
      <c r="N154" s="678"/>
      <c r="O154" s="678"/>
      <c r="P154" s="1011"/>
      <c r="Q154" s="1009"/>
      <c r="R154" s="1064"/>
    </row>
    <row r="155" spans="1:18" ht="15" thickBot="1" x14ac:dyDescent="0.35">
      <c r="D155" s="153"/>
      <c r="E155" s="1"/>
      <c r="L155" s="607"/>
      <c r="M155" s="510"/>
      <c r="N155" s="510"/>
      <c r="O155" s="584"/>
    </row>
    <row r="156" spans="1:18" x14ac:dyDescent="0.3">
      <c r="A156" s="1037" t="s">
        <v>137</v>
      </c>
      <c r="B156" s="1048" t="s">
        <v>138</v>
      </c>
      <c r="C156" s="1043"/>
      <c r="D156" s="1045" t="s">
        <v>90</v>
      </c>
      <c r="E156" s="1045" t="s">
        <v>91</v>
      </c>
      <c r="F156" s="2"/>
      <c r="G156" s="1040">
        <f>SUM('SUPPORT MANCHETTE EQUIPEE'!E4)</f>
        <v>0.12300000000000001</v>
      </c>
      <c r="H156" s="1028" t="s">
        <v>139</v>
      </c>
      <c r="I156" s="1007" t="s">
        <v>93</v>
      </c>
      <c r="J156" s="1007" t="s">
        <v>94</v>
      </c>
      <c r="K156" s="639"/>
      <c r="L156" s="685"/>
      <c r="M156" s="685"/>
      <c r="N156" s="685"/>
      <c r="O156" s="685"/>
      <c r="P156" s="1019">
        <v>240</v>
      </c>
      <c r="Q156" s="1016" t="s">
        <v>30</v>
      </c>
    </row>
    <row r="157" spans="1:18" x14ac:dyDescent="0.3">
      <c r="A157" s="1038"/>
      <c r="B157" s="1049"/>
      <c r="C157" s="985"/>
      <c r="D157" s="1046"/>
      <c r="E157" s="1046"/>
      <c r="G157" s="1041"/>
      <c r="H157" s="1029"/>
      <c r="I157" s="1008"/>
      <c r="J157" s="1008"/>
      <c r="K157" s="640"/>
      <c r="L157" s="686"/>
      <c r="M157" s="686"/>
      <c r="N157" s="686"/>
      <c r="O157" s="686"/>
      <c r="P157" s="1020"/>
      <c r="Q157" s="1017"/>
    </row>
    <row r="158" spans="1:18" x14ac:dyDescent="0.3">
      <c r="A158" s="1038"/>
      <c r="B158" s="1049"/>
      <c r="C158" s="985"/>
      <c r="D158" s="1046"/>
      <c r="E158" s="1046"/>
      <c r="G158" s="1041"/>
      <c r="H158" s="1029"/>
      <c r="I158" s="1008"/>
      <c r="J158" s="1008"/>
      <c r="K158" s="640"/>
      <c r="L158" s="686"/>
      <c r="M158" s="686"/>
      <c r="N158" s="686"/>
      <c r="O158" s="686"/>
      <c r="P158" s="1020"/>
      <c r="Q158" s="1017"/>
    </row>
    <row r="159" spans="1:18" x14ac:dyDescent="0.3">
      <c r="A159" s="1038"/>
      <c r="B159" s="1049"/>
      <c r="C159" s="985"/>
      <c r="D159" s="1046"/>
      <c r="E159" s="1046"/>
      <c r="G159" s="1041"/>
      <c r="H159" s="1029"/>
      <c r="I159" s="1008"/>
      <c r="J159" s="1008"/>
      <c r="K159" s="640"/>
      <c r="L159" s="686"/>
      <c r="M159" s="686"/>
      <c r="N159" s="686"/>
      <c r="O159" s="686"/>
      <c r="P159" s="1020"/>
      <c r="Q159" s="1017"/>
    </row>
    <row r="160" spans="1:18" x14ac:dyDescent="0.3">
      <c r="A160" s="1038"/>
      <c r="B160" s="1049"/>
      <c r="C160" s="985"/>
      <c r="D160" s="1046"/>
      <c r="E160" s="1046"/>
      <c r="G160" s="1041"/>
      <c r="H160" s="1029"/>
      <c r="I160" s="1008"/>
      <c r="J160" s="1008"/>
      <c r="K160" s="640"/>
      <c r="L160" s="686"/>
      <c r="M160" s="686"/>
      <c r="N160" s="686"/>
      <c r="O160" s="686"/>
      <c r="P160" s="1020"/>
      <c r="Q160" s="1017"/>
    </row>
    <row r="161" spans="1:17" x14ac:dyDescent="0.3">
      <c r="A161" s="1038"/>
      <c r="B161" s="1049"/>
      <c r="C161" s="985"/>
      <c r="D161" s="1046"/>
      <c r="E161" s="1046"/>
      <c r="G161" s="1041"/>
      <c r="H161" s="1029"/>
      <c r="I161" s="1008"/>
      <c r="J161" s="1008"/>
      <c r="K161" s="640"/>
      <c r="L161" s="686"/>
      <c r="M161" s="686"/>
      <c r="N161" s="686"/>
      <c r="O161" s="686"/>
      <c r="P161" s="1020"/>
      <c r="Q161" s="1017"/>
    </row>
    <row r="162" spans="1:17" ht="15" thickBot="1" x14ac:dyDescent="0.35">
      <c r="A162" s="1039"/>
      <c r="B162" s="1050"/>
      <c r="C162" s="1044"/>
      <c r="D162" s="1047"/>
      <c r="E162" s="1047"/>
      <c r="F162" s="11"/>
      <c r="G162" s="1042"/>
      <c r="H162" s="1030"/>
      <c r="I162" s="1009"/>
      <c r="J162" s="1009"/>
      <c r="K162" s="641"/>
      <c r="L162" s="687"/>
      <c r="M162" s="687"/>
      <c r="N162" s="687"/>
      <c r="O162" s="687"/>
      <c r="P162" s="1021"/>
      <c r="Q162" s="1018"/>
    </row>
    <row r="163" spans="1:17" ht="15" thickBot="1" x14ac:dyDescent="0.35">
      <c r="D163" s="153"/>
      <c r="E163" s="1"/>
      <c r="L163" s="607"/>
      <c r="M163" s="510"/>
      <c r="N163" s="510"/>
      <c r="O163" s="584"/>
    </row>
    <row r="164" spans="1:17" x14ac:dyDescent="0.3">
      <c r="A164" s="1037" t="s">
        <v>140</v>
      </c>
      <c r="B164" s="1048" t="s">
        <v>141</v>
      </c>
      <c r="C164" s="1043"/>
      <c r="D164" s="1045" t="s">
        <v>46</v>
      </c>
      <c r="E164" s="1045" t="s">
        <v>91</v>
      </c>
      <c r="F164" s="2"/>
      <c r="G164" s="1040">
        <f>SUM('SUPPORT NFC'!E4)</f>
        <v>0.01</v>
      </c>
      <c r="H164" s="1028" t="s">
        <v>139</v>
      </c>
      <c r="I164" s="1007" t="s">
        <v>93</v>
      </c>
      <c r="J164" s="1007" t="s">
        <v>94</v>
      </c>
      <c r="K164" s="639"/>
      <c r="L164" s="685"/>
      <c r="M164" s="685"/>
      <c r="N164" s="685"/>
      <c r="O164" s="685"/>
      <c r="P164" s="1019">
        <v>240</v>
      </c>
      <c r="Q164" s="1016" t="s">
        <v>30</v>
      </c>
    </row>
    <row r="165" spans="1:17" x14ac:dyDescent="0.3">
      <c r="A165" s="1038"/>
      <c r="B165" s="1049"/>
      <c r="C165" s="985"/>
      <c r="D165" s="1046"/>
      <c r="E165" s="1046"/>
      <c r="G165" s="1041"/>
      <c r="H165" s="1029"/>
      <c r="I165" s="1008"/>
      <c r="J165" s="1008"/>
      <c r="K165" s="640"/>
      <c r="L165" s="686"/>
      <c r="M165" s="686"/>
      <c r="N165" s="686"/>
      <c r="O165" s="686"/>
      <c r="P165" s="1020"/>
      <c r="Q165" s="1017"/>
    </row>
    <row r="166" spans="1:17" x14ac:dyDescent="0.3">
      <c r="A166" s="1038"/>
      <c r="B166" s="1049"/>
      <c r="C166" s="985"/>
      <c r="D166" s="1046"/>
      <c r="E166" s="1046"/>
      <c r="G166" s="1041"/>
      <c r="H166" s="1029"/>
      <c r="I166" s="1008"/>
      <c r="J166" s="1008"/>
      <c r="K166" s="640"/>
      <c r="L166" s="686"/>
      <c r="M166" s="686"/>
      <c r="N166" s="686"/>
      <c r="O166" s="686"/>
      <c r="P166" s="1020"/>
      <c r="Q166" s="1017"/>
    </row>
    <row r="167" spans="1:17" x14ac:dyDescent="0.3">
      <c r="A167" s="1038"/>
      <c r="B167" s="1049"/>
      <c r="C167" s="985"/>
      <c r="D167" s="1046"/>
      <c r="E167" s="1046"/>
      <c r="G167" s="1041"/>
      <c r="H167" s="1029"/>
      <c r="I167" s="1008"/>
      <c r="J167" s="1008"/>
      <c r="K167" s="640"/>
      <c r="L167" s="686"/>
      <c r="M167" s="686"/>
      <c r="N167" s="686"/>
      <c r="O167" s="686"/>
      <c r="P167" s="1020"/>
      <c r="Q167" s="1017"/>
    </row>
    <row r="168" spans="1:17" x14ac:dyDescent="0.3">
      <c r="A168" s="1038"/>
      <c r="B168" s="1049"/>
      <c r="C168" s="985"/>
      <c r="D168" s="1046"/>
      <c r="E168" s="1046"/>
      <c r="G168" s="1041"/>
      <c r="H168" s="1029"/>
      <c r="I168" s="1008"/>
      <c r="J168" s="1008"/>
      <c r="K168" s="640"/>
      <c r="L168" s="686"/>
      <c r="M168" s="686"/>
      <c r="N168" s="686"/>
      <c r="O168" s="686"/>
      <c r="P168" s="1020"/>
      <c r="Q168" s="1017"/>
    </row>
    <row r="169" spans="1:17" x14ac:dyDescent="0.3">
      <c r="A169" s="1038"/>
      <c r="B169" s="1049"/>
      <c r="C169" s="985"/>
      <c r="D169" s="1046"/>
      <c r="E169" s="1046"/>
      <c r="G169" s="1041"/>
      <c r="H169" s="1029"/>
      <c r="I169" s="1008"/>
      <c r="J169" s="1008"/>
      <c r="K169" s="640"/>
      <c r="L169" s="686"/>
      <c r="M169" s="686"/>
      <c r="N169" s="686"/>
      <c r="O169" s="686"/>
      <c r="P169" s="1020"/>
      <c r="Q169" s="1017"/>
    </row>
    <row r="170" spans="1:17" ht="15" thickBot="1" x14ac:dyDescent="0.35">
      <c r="A170" s="1039"/>
      <c r="B170" s="1050"/>
      <c r="C170" s="1044"/>
      <c r="D170" s="1047"/>
      <c r="E170" s="1047"/>
      <c r="F170" s="11"/>
      <c r="G170" s="1042"/>
      <c r="H170" s="1030"/>
      <c r="I170" s="1009"/>
      <c r="J170" s="1009"/>
      <c r="K170" s="641"/>
      <c r="L170" s="687"/>
      <c r="M170" s="687"/>
      <c r="N170" s="687"/>
      <c r="O170" s="687"/>
      <c r="P170" s="1021"/>
      <c r="Q170" s="1018"/>
    </row>
    <row r="171" spans="1:17" ht="15" thickBot="1" x14ac:dyDescent="0.35">
      <c r="D171" s="153"/>
      <c r="E171" s="1"/>
      <c r="L171" s="607"/>
      <c r="M171" s="510"/>
      <c r="N171" s="510"/>
      <c r="O171" s="584"/>
    </row>
    <row r="172" spans="1:17" x14ac:dyDescent="0.3">
      <c r="A172" s="1037" t="s">
        <v>142</v>
      </c>
      <c r="B172" s="1048" t="s">
        <v>143</v>
      </c>
      <c r="C172" s="1043"/>
      <c r="D172" s="1045" t="s">
        <v>90</v>
      </c>
      <c r="E172" s="1045" t="s">
        <v>91</v>
      </c>
      <c r="F172" s="2"/>
      <c r="G172" s="1040">
        <f>SUM('CAPOT NFC'!E4)</f>
        <v>6.9000000000000006E-2</v>
      </c>
      <c r="H172" s="1028" t="s">
        <v>139</v>
      </c>
      <c r="I172" s="1007" t="s">
        <v>93</v>
      </c>
      <c r="J172" s="1007" t="s">
        <v>94</v>
      </c>
      <c r="K172" s="639"/>
      <c r="L172" s="685"/>
      <c r="M172" s="685"/>
      <c r="N172" s="685"/>
      <c r="O172" s="685"/>
      <c r="P172" s="1019">
        <v>240</v>
      </c>
      <c r="Q172" s="1016" t="s">
        <v>30</v>
      </c>
    </row>
    <row r="173" spans="1:17" x14ac:dyDescent="0.3">
      <c r="A173" s="1038"/>
      <c r="B173" s="1049"/>
      <c r="C173" s="985"/>
      <c r="D173" s="1046"/>
      <c r="E173" s="1046"/>
      <c r="G173" s="1041"/>
      <c r="H173" s="1029"/>
      <c r="I173" s="1008"/>
      <c r="J173" s="1008"/>
      <c r="K173" s="640"/>
      <c r="L173" s="686"/>
      <c r="M173" s="686"/>
      <c r="N173" s="686"/>
      <c r="O173" s="686"/>
      <c r="P173" s="1020"/>
      <c r="Q173" s="1017"/>
    </row>
    <row r="174" spans="1:17" x14ac:dyDescent="0.3">
      <c r="A174" s="1038"/>
      <c r="B174" s="1049"/>
      <c r="C174" s="985"/>
      <c r="D174" s="1046"/>
      <c r="E174" s="1046"/>
      <c r="G174" s="1041"/>
      <c r="H174" s="1029"/>
      <c r="I174" s="1008"/>
      <c r="J174" s="1008"/>
      <c r="K174" s="640"/>
      <c r="L174" s="686"/>
      <c r="M174" s="686"/>
      <c r="N174" s="686"/>
      <c r="O174" s="686"/>
      <c r="P174" s="1020"/>
      <c r="Q174" s="1017"/>
    </row>
    <row r="175" spans="1:17" x14ac:dyDescent="0.3">
      <c r="A175" s="1038"/>
      <c r="B175" s="1049"/>
      <c r="C175" s="985"/>
      <c r="D175" s="1046"/>
      <c r="E175" s="1046"/>
      <c r="G175" s="1041"/>
      <c r="H175" s="1029"/>
      <c r="I175" s="1008"/>
      <c r="J175" s="1008"/>
      <c r="K175" s="640"/>
      <c r="L175" s="686"/>
      <c r="M175" s="686"/>
      <c r="N175" s="686"/>
      <c r="O175" s="686"/>
      <c r="P175" s="1020"/>
      <c r="Q175" s="1017"/>
    </row>
    <row r="176" spans="1:17" x14ac:dyDescent="0.3">
      <c r="A176" s="1038"/>
      <c r="B176" s="1049"/>
      <c r="C176" s="985"/>
      <c r="D176" s="1046"/>
      <c r="E176" s="1046"/>
      <c r="G176" s="1041"/>
      <c r="H176" s="1029"/>
      <c r="I176" s="1008"/>
      <c r="J176" s="1008"/>
      <c r="K176" s="640"/>
      <c r="L176" s="686"/>
      <c r="M176" s="686"/>
      <c r="N176" s="686"/>
      <c r="O176" s="686"/>
      <c r="P176" s="1020"/>
      <c r="Q176" s="1017"/>
    </row>
    <row r="177" spans="1:17" x14ac:dyDescent="0.3">
      <c r="A177" s="1038"/>
      <c r="B177" s="1049"/>
      <c r="C177" s="985"/>
      <c r="D177" s="1046"/>
      <c r="E177" s="1046"/>
      <c r="G177" s="1041"/>
      <c r="H177" s="1029"/>
      <c r="I177" s="1008"/>
      <c r="J177" s="1008"/>
      <c r="K177" s="640"/>
      <c r="L177" s="686"/>
      <c r="M177" s="686"/>
      <c r="N177" s="686"/>
      <c r="O177" s="686"/>
      <c r="P177" s="1020"/>
      <c r="Q177" s="1017"/>
    </row>
    <row r="178" spans="1:17" ht="15" thickBot="1" x14ac:dyDescent="0.35">
      <c r="A178" s="1039"/>
      <c r="B178" s="1050"/>
      <c r="C178" s="1044"/>
      <c r="D178" s="1047"/>
      <c r="E178" s="1047"/>
      <c r="F178" s="11"/>
      <c r="G178" s="1042"/>
      <c r="H178" s="1030"/>
      <c r="I178" s="1009"/>
      <c r="J178" s="1009"/>
      <c r="K178" s="641"/>
      <c r="L178" s="687"/>
      <c r="M178" s="687"/>
      <c r="N178" s="687"/>
      <c r="O178" s="687"/>
      <c r="P178" s="1021"/>
      <c r="Q178" s="1018"/>
    </row>
    <row r="179" spans="1:17" ht="15" thickBot="1" x14ac:dyDescent="0.35">
      <c r="D179" s="153"/>
      <c r="E179" s="1"/>
      <c r="L179" s="607"/>
      <c r="M179" s="510"/>
      <c r="N179" s="510"/>
      <c r="O179" s="584"/>
    </row>
    <row r="180" spans="1:17" x14ac:dyDescent="0.3">
      <c r="A180" s="1037" t="s">
        <v>144</v>
      </c>
      <c r="B180" s="1048" t="s">
        <v>145</v>
      </c>
      <c r="C180" s="1043"/>
      <c r="D180" s="1045" t="s">
        <v>90</v>
      </c>
      <c r="E180" s="1045" t="s">
        <v>146</v>
      </c>
      <c r="F180" s="2"/>
      <c r="G180" s="1040">
        <f>SUM('ENS STRUCTURE FIXE'!E4)</f>
        <v>5.0662984199999972</v>
      </c>
      <c r="H180" s="1028" t="s">
        <v>41</v>
      </c>
      <c r="I180" s="1007" t="s">
        <v>66</v>
      </c>
      <c r="J180" s="1022" t="s">
        <v>67</v>
      </c>
      <c r="K180" s="642"/>
      <c r="L180" s="679"/>
      <c r="M180" s="679"/>
      <c r="N180" s="679"/>
      <c r="O180" s="679"/>
      <c r="P180" s="1013">
        <v>295</v>
      </c>
      <c r="Q180" s="1016" t="s">
        <v>30</v>
      </c>
    </row>
    <row r="181" spans="1:17" x14ac:dyDescent="0.3">
      <c r="A181" s="1038"/>
      <c r="B181" s="1049"/>
      <c r="C181" s="985"/>
      <c r="D181" s="1046"/>
      <c r="E181" s="1046"/>
      <c r="G181" s="1041"/>
      <c r="H181" s="1029"/>
      <c r="I181" s="1008"/>
      <c r="J181" s="1023"/>
      <c r="K181" s="643"/>
      <c r="L181" s="680"/>
      <c r="M181" s="680"/>
      <c r="N181" s="680"/>
      <c r="O181" s="680"/>
      <c r="P181" s="1014"/>
      <c r="Q181" s="1017"/>
    </row>
    <row r="182" spans="1:17" x14ac:dyDescent="0.3">
      <c r="A182" s="1038"/>
      <c r="B182" s="1049"/>
      <c r="C182" s="985"/>
      <c r="D182" s="1046"/>
      <c r="E182" s="1046"/>
      <c r="G182" s="1041"/>
      <c r="H182" s="1029"/>
      <c r="I182" s="1008"/>
      <c r="J182" s="1023"/>
      <c r="K182" s="711" t="s">
        <v>51</v>
      </c>
      <c r="L182" s="680"/>
      <c r="M182" s="680"/>
      <c r="N182" s="680"/>
      <c r="O182" s="680"/>
      <c r="P182" s="1014"/>
      <c r="Q182" s="1017"/>
    </row>
    <row r="183" spans="1:17" x14ac:dyDescent="0.3">
      <c r="A183" s="1038"/>
      <c r="B183" s="1049"/>
      <c r="C183" s="985"/>
      <c r="D183" s="1046"/>
      <c r="E183" s="1046"/>
      <c r="G183" s="1041"/>
      <c r="H183" s="1029"/>
      <c r="I183" s="1008"/>
      <c r="J183" s="1023"/>
      <c r="K183" s="643"/>
      <c r="L183" s="680"/>
      <c r="M183" s="680"/>
      <c r="N183" s="680"/>
      <c r="O183" s="680"/>
      <c r="P183" s="1014"/>
      <c r="Q183" s="1017"/>
    </row>
    <row r="184" spans="1:17" x14ac:dyDescent="0.3">
      <c r="A184" s="1038"/>
      <c r="B184" s="1049"/>
      <c r="C184" s="985"/>
      <c r="D184" s="1046"/>
      <c r="E184" s="1046"/>
      <c r="G184" s="1041"/>
      <c r="H184" s="1029"/>
      <c r="I184" s="1008"/>
      <c r="J184" s="1023"/>
      <c r="K184" s="643"/>
      <c r="L184" s="680"/>
      <c r="M184" s="680"/>
      <c r="N184" s="680"/>
      <c r="O184" s="680"/>
      <c r="P184" s="1014"/>
      <c r="Q184" s="1017"/>
    </row>
    <row r="185" spans="1:17" x14ac:dyDescent="0.3">
      <c r="A185" s="1038"/>
      <c r="B185" s="1049"/>
      <c r="C185" s="985"/>
      <c r="D185" s="1046"/>
      <c r="E185" s="1046"/>
      <c r="G185" s="1041"/>
      <c r="H185" s="1029"/>
      <c r="I185" s="1008"/>
      <c r="J185" s="1023"/>
      <c r="K185" s="643"/>
      <c r="L185" s="680"/>
      <c r="M185" s="680"/>
      <c r="N185" s="680"/>
      <c r="O185" s="680"/>
      <c r="P185" s="1014"/>
      <c r="Q185" s="1017"/>
    </row>
    <row r="186" spans="1:17" ht="15" thickBot="1" x14ac:dyDescent="0.35">
      <c r="A186" s="1039"/>
      <c r="B186" s="1050"/>
      <c r="C186" s="1044"/>
      <c r="D186" s="1047"/>
      <c r="E186" s="1047"/>
      <c r="F186" s="11"/>
      <c r="G186" s="1042"/>
      <c r="H186" s="1030"/>
      <c r="I186" s="1009"/>
      <c r="J186" s="1024"/>
      <c r="K186" s="644"/>
      <c r="L186" s="681"/>
      <c r="M186" s="681"/>
      <c r="N186" s="681"/>
      <c r="O186" s="681"/>
      <c r="P186" s="1015"/>
      <c r="Q186" s="1018"/>
    </row>
    <row r="187" spans="1:17" ht="15" thickBot="1" x14ac:dyDescent="0.35">
      <c r="D187" s="153"/>
      <c r="E187" s="1"/>
      <c r="L187" s="607"/>
      <c r="M187" s="510"/>
      <c r="N187" s="510"/>
      <c r="O187" s="584"/>
    </row>
    <row r="188" spans="1:17" x14ac:dyDescent="0.3">
      <c r="A188" s="1037" t="s">
        <v>147</v>
      </c>
      <c r="B188" s="1048" t="s">
        <v>148</v>
      </c>
      <c r="C188" s="1043"/>
      <c r="D188" s="1045" t="s">
        <v>90</v>
      </c>
      <c r="E188" s="1045" t="s">
        <v>149</v>
      </c>
      <c r="F188" s="2"/>
      <c r="G188" s="1040">
        <f>SUM('ENS PORTE'!E3)</f>
        <v>8.7082356000000001</v>
      </c>
      <c r="H188" s="1028" t="s">
        <v>150</v>
      </c>
      <c r="I188" s="1007" t="s">
        <v>66</v>
      </c>
      <c r="J188" s="1045" t="s">
        <v>67</v>
      </c>
      <c r="K188" s="663"/>
      <c r="L188" s="682"/>
      <c r="M188" s="682"/>
      <c r="N188" s="682"/>
      <c r="O188" s="682"/>
      <c r="P188" s="1025">
        <v>295</v>
      </c>
      <c r="Q188" s="1016" t="s">
        <v>30</v>
      </c>
    </row>
    <row r="189" spans="1:17" x14ac:dyDescent="0.3">
      <c r="A189" s="1038"/>
      <c r="B189" s="1049"/>
      <c r="C189" s="985"/>
      <c r="D189" s="1046"/>
      <c r="E189" s="1046"/>
      <c r="G189" s="1041"/>
      <c r="H189" s="1029"/>
      <c r="I189" s="1008"/>
      <c r="J189" s="1046"/>
      <c r="K189" s="711" t="s">
        <v>51</v>
      </c>
      <c r="L189" s="683"/>
      <c r="M189" s="683"/>
      <c r="N189" s="683"/>
      <c r="O189" s="683"/>
      <c r="P189" s="1026"/>
      <c r="Q189" s="1017"/>
    </row>
    <row r="190" spans="1:17" x14ac:dyDescent="0.3">
      <c r="A190" s="1038"/>
      <c r="B190" s="1049"/>
      <c r="C190" s="985"/>
      <c r="D190" s="1046"/>
      <c r="E190" s="1046"/>
      <c r="G190" s="1041"/>
      <c r="H190" s="1029"/>
      <c r="I190" s="1008"/>
      <c r="J190" s="1046"/>
      <c r="K190" s="662"/>
      <c r="L190" s="683"/>
      <c r="M190" s="683"/>
      <c r="N190" s="683"/>
      <c r="O190" s="683"/>
      <c r="P190" s="1026"/>
      <c r="Q190" s="1017"/>
    </row>
    <row r="191" spans="1:17" ht="15" thickBot="1" x14ac:dyDescent="0.35">
      <c r="A191" s="1038"/>
      <c r="B191" s="1049"/>
      <c r="C191" s="985"/>
      <c r="D191" s="1046"/>
      <c r="E191" s="1046"/>
      <c r="G191" s="1041"/>
      <c r="H191" s="1029"/>
      <c r="I191" s="1009"/>
      <c r="J191" s="1047"/>
      <c r="K191" s="647"/>
      <c r="L191" s="683"/>
      <c r="M191" s="683"/>
      <c r="N191" s="683"/>
      <c r="O191" s="683"/>
      <c r="P191" s="1027"/>
      <c r="Q191" s="1017"/>
    </row>
    <row r="192" spans="1:17" x14ac:dyDescent="0.3">
      <c r="A192" s="1038"/>
      <c r="B192" s="1049"/>
      <c r="C192" s="985"/>
      <c r="D192" s="1046"/>
      <c r="E192" s="1046"/>
      <c r="G192" s="1041"/>
      <c r="H192" s="1029"/>
      <c r="I192" s="1007" t="s">
        <v>151</v>
      </c>
      <c r="J192" s="1045" t="s">
        <v>152</v>
      </c>
      <c r="K192" s="645" t="s">
        <v>153</v>
      </c>
      <c r="L192" s="683"/>
      <c r="M192" s="683"/>
      <c r="N192" s="683"/>
      <c r="O192" s="683"/>
      <c r="P192" s="1025">
        <v>244</v>
      </c>
      <c r="Q192" s="1017"/>
    </row>
    <row r="193" spans="1:17" x14ac:dyDescent="0.3">
      <c r="A193" s="1038"/>
      <c r="B193" s="1049"/>
      <c r="C193" s="985"/>
      <c r="D193" s="1046"/>
      <c r="E193" s="1046"/>
      <c r="G193" s="1041"/>
      <c r="H193" s="1029"/>
      <c r="I193" s="1008"/>
      <c r="J193" s="1046"/>
      <c r="K193" s="646" t="s">
        <v>154</v>
      </c>
      <c r="L193" s="683"/>
      <c r="M193" s="683"/>
      <c r="N193" s="683"/>
      <c r="O193" s="683"/>
      <c r="P193" s="1026"/>
      <c r="Q193" s="1017"/>
    </row>
    <row r="194" spans="1:17" ht="15" thickBot="1" x14ac:dyDescent="0.35">
      <c r="A194" s="1039"/>
      <c r="B194" s="1050"/>
      <c r="C194" s="1044"/>
      <c r="D194" s="1047"/>
      <c r="E194" s="1047"/>
      <c r="F194" s="11"/>
      <c r="G194" s="1042"/>
      <c r="H194" s="1030"/>
      <c r="I194" s="1009"/>
      <c r="J194" s="1047"/>
      <c r="K194" s="647"/>
      <c r="L194" s="684"/>
      <c r="M194" s="684"/>
      <c r="N194" s="684"/>
      <c r="O194" s="684"/>
      <c r="P194" s="1027"/>
      <c r="Q194" s="1018"/>
    </row>
    <row r="195" spans="1:17" ht="15" thickBot="1" x14ac:dyDescent="0.35">
      <c r="D195" s="153"/>
      <c r="E195" s="1"/>
      <c r="L195" s="607"/>
      <c r="M195" s="510"/>
      <c r="N195" s="510"/>
      <c r="O195" s="584"/>
    </row>
    <row r="196" spans="1:17" x14ac:dyDescent="0.3">
      <c r="A196" s="1037" t="s">
        <v>155</v>
      </c>
      <c r="B196" s="1048" t="s">
        <v>156</v>
      </c>
      <c r="C196" s="1043"/>
      <c r="D196" s="1045" t="s">
        <v>157</v>
      </c>
      <c r="E196" s="1045" t="s">
        <v>158</v>
      </c>
      <c r="F196" s="2"/>
      <c r="G196" s="1040">
        <f>SUM('COUSSIN OTTOMAN'!E4)</f>
        <v>1.3809999999999998</v>
      </c>
      <c r="H196" s="1028" t="s">
        <v>159</v>
      </c>
      <c r="I196" s="1007" t="s">
        <v>160</v>
      </c>
      <c r="J196" s="1016" t="s">
        <v>161</v>
      </c>
      <c r="K196" s="636"/>
      <c r="L196" s="685"/>
      <c r="M196" s="685"/>
      <c r="N196" s="685"/>
      <c r="O196" s="685"/>
      <c r="P196" s="1019">
        <v>1800</v>
      </c>
      <c r="Q196" s="1016" t="s">
        <v>30</v>
      </c>
    </row>
    <row r="197" spans="1:17" x14ac:dyDescent="0.3">
      <c r="A197" s="1038"/>
      <c r="B197" s="1049"/>
      <c r="C197" s="985"/>
      <c r="D197" s="1046"/>
      <c r="E197" s="1046"/>
      <c r="G197" s="1041"/>
      <c r="H197" s="1029"/>
      <c r="I197" s="1008"/>
      <c r="J197" s="1017"/>
      <c r="K197" s="637"/>
      <c r="L197" s="686"/>
      <c r="M197" s="686"/>
      <c r="N197" s="686"/>
      <c r="O197" s="686"/>
      <c r="P197" s="1020"/>
      <c r="Q197" s="1017"/>
    </row>
    <row r="198" spans="1:17" x14ac:dyDescent="0.3">
      <c r="A198" s="1038"/>
      <c r="B198" s="1049"/>
      <c r="C198" s="985"/>
      <c r="D198" s="1046"/>
      <c r="E198" s="1046"/>
      <c r="G198" s="1041"/>
      <c r="H198" s="1029"/>
      <c r="I198" s="1008"/>
      <c r="J198" s="1017"/>
      <c r="K198" s="637"/>
      <c r="L198" s="686"/>
      <c r="M198" s="686"/>
      <c r="N198" s="686"/>
      <c r="O198" s="686"/>
      <c r="P198" s="1020"/>
      <c r="Q198" s="1017"/>
    </row>
    <row r="199" spans="1:17" x14ac:dyDescent="0.3">
      <c r="A199" s="1038"/>
      <c r="B199" s="1049"/>
      <c r="C199" s="985"/>
      <c r="D199" s="1046"/>
      <c r="E199" s="1046"/>
      <c r="G199" s="1041"/>
      <c r="H199" s="1029"/>
      <c r="I199" s="1008"/>
      <c r="J199" s="1017"/>
      <c r="K199" s="637" t="s">
        <v>128</v>
      </c>
      <c r="L199" s="686"/>
      <c r="M199" s="686"/>
      <c r="N199" s="686"/>
      <c r="O199" s="686"/>
      <c r="P199" s="1020"/>
      <c r="Q199" s="1017"/>
    </row>
    <row r="200" spans="1:17" x14ac:dyDescent="0.3">
      <c r="A200" s="1038"/>
      <c r="B200" s="1049"/>
      <c r="C200" s="985"/>
      <c r="D200" s="1046"/>
      <c r="E200" s="1046"/>
      <c r="G200" s="1041"/>
      <c r="H200" s="1029"/>
      <c r="I200" s="1008"/>
      <c r="J200" s="1017"/>
      <c r="K200" s="637"/>
      <c r="L200" s="686"/>
      <c r="M200" s="686"/>
      <c r="N200" s="686"/>
      <c r="O200" s="686"/>
      <c r="P200" s="1020"/>
      <c r="Q200" s="1017"/>
    </row>
    <row r="201" spans="1:17" x14ac:dyDescent="0.3">
      <c r="A201" s="1038"/>
      <c r="B201" s="1049"/>
      <c r="C201" s="985"/>
      <c r="D201" s="1046"/>
      <c r="E201" s="1046"/>
      <c r="G201" s="1041"/>
      <c r="H201" s="1029"/>
      <c r="I201" s="1008"/>
      <c r="J201" s="1017"/>
      <c r="K201" s="637"/>
      <c r="L201" s="686"/>
      <c r="M201" s="686"/>
      <c r="N201" s="686"/>
      <c r="O201" s="686"/>
      <c r="P201" s="1020"/>
      <c r="Q201" s="1017"/>
    </row>
    <row r="202" spans="1:17" ht="15" thickBot="1" x14ac:dyDescent="0.35">
      <c r="A202" s="1039"/>
      <c r="B202" s="1050"/>
      <c r="C202" s="1044"/>
      <c r="D202" s="1047"/>
      <c r="E202" s="1047"/>
      <c r="F202" s="11"/>
      <c r="G202" s="1042"/>
      <c r="H202" s="1030"/>
      <c r="I202" s="1009"/>
      <c r="J202" s="1018"/>
      <c r="K202" s="638"/>
      <c r="L202" s="687"/>
      <c r="M202" s="687"/>
      <c r="N202" s="687"/>
      <c r="O202" s="687"/>
      <c r="P202" s="1021"/>
      <c r="Q202" s="1018"/>
    </row>
    <row r="203" spans="1:17" ht="15" thickBot="1" x14ac:dyDescent="0.35">
      <c r="D203" s="153"/>
      <c r="E203" s="1"/>
      <c r="L203" s="607"/>
      <c r="M203" s="510"/>
      <c r="N203" s="510"/>
      <c r="O203" s="584"/>
    </row>
    <row r="204" spans="1:17" x14ac:dyDescent="0.3">
      <c r="A204" s="1037" t="s">
        <v>162</v>
      </c>
      <c r="B204" s="1048" t="s">
        <v>163</v>
      </c>
      <c r="C204" s="1043"/>
      <c r="D204" s="1045" t="s">
        <v>157</v>
      </c>
      <c r="E204" s="1045" t="s">
        <v>164</v>
      </c>
      <c r="F204" s="2"/>
      <c r="G204" s="1040">
        <f>SUM('COUSSIN TETIERE'!E4)</f>
        <v>0.312</v>
      </c>
      <c r="H204" s="1028" t="s">
        <v>159</v>
      </c>
      <c r="I204" s="1007" t="s">
        <v>160</v>
      </c>
      <c r="J204" s="1016" t="s">
        <v>161</v>
      </c>
      <c r="K204" s="636"/>
      <c r="L204" s="685"/>
      <c r="M204" s="685"/>
      <c r="N204" s="685"/>
      <c r="O204" s="685"/>
      <c r="P204" s="1019">
        <v>1800</v>
      </c>
      <c r="Q204" s="1016" t="s">
        <v>30</v>
      </c>
    </row>
    <row r="205" spans="1:17" x14ac:dyDescent="0.3">
      <c r="A205" s="1038"/>
      <c r="B205" s="1049"/>
      <c r="C205" s="985"/>
      <c r="D205" s="1046"/>
      <c r="E205" s="1046"/>
      <c r="G205" s="1041"/>
      <c r="H205" s="1029"/>
      <c r="I205" s="1008"/>
      <c r="J205" s="1017"/>
      <c r="K205" s="637"/>
      <c r="L205" s="686"/>
      <c r="M205" s="686"/>
      <c r="N205" s="686"/>
      <c r="O205" s="686"/>
      <c r="P205" s="1020"/>
      <c r="Q205" s="1017"/>
    </row>
    <row r="206" spans="1:17" x14ac:dyDescent="0.3">
      <c r="A206" s="1038"/>
      <c r="B206" s="1049"/>
      <c r="C206" s="985"/>
      <c r="D206" s="1046"/>
      <c r="E206" s="1046"/>
      <c r="G206" s="1041"/>
      <c r="H206" s="1029"/>
      <c r="I206" s="1008"/>
      <c r="J206" s="1017"/>
      <c r="K206" s="637"/>
      <c r="L206" s="686"/>
      <c r="M206" s="686"/>
      <c r="N206" s="686"/>
      <c r="O206" s="686"/>
      <c r="P206" s="1020"/>
      <c r="Q206" s="1017"/>
    </row>
    <row r="207" spans="1:17" x14ac:dyDescent="0.3">
      <c r="A207" s="1038"/>
      <c r="B207" s="1049"/>
      <c r="C207" s="985"/>
      <c r="D207" s="1046"/>
      <c r="E207" s="1046"/>
      <c r="G207" s="1041"/>
      <c r="H207" s="1029"/>
      <c r="I207" s="1008"/>
      <c r="J207" s="1017"/>
      <c r="K207" s="637" t="s">
        <v>128</v>
      </c>
      <c r="L207" s="686"/>
      <c r="M207" s="686"/>
      <c r="N207" s="686"/>
      <c r="O207" s="686"/>
      <c r="P207" s="1020"/>
      <c r="Q207" s="1017"/>
    </row>
    <row r="208" spans="1:17" x14ac:dyDescent="0.3">
      <c r="A208" s="1038"/>
      <c r="B208" s="1049"/>
      <c r="C208" s="985"/>
      <c r="D208" s="1046"/>
      <c r="E208" s="1046"/>
      <c r="G208" s="1041"/>
      <c r="H208" s="1029"/>
      <c r="I208" s="1008"/>
      <c r="J208" s="1017"/>
      <c r="K208" s="637"/>
      <c r="L208" s="686"/>
      <c r="M208" s="686"/>
      <c r="N208" s="686"/>
      <c r="O208" s="686"/>
      <c r="P208" s="1020"/>
      <c r="Q208" s="1017"/>
    </row>
    <row r="209" spans="1:17" x14ac:dyDescent="0.3">
      <c r="A209" s="1038"/>
      <c r="B209" s="1049"/>
      <c r="C209" s="985"/>
      <c r="D209" s="1046"/>
      <c r="E209" s="1046"/>
      <c r="G209" s="1041"/>
      <c r="H209" s="1029"/>
      <c r="I209" s="1008"/>
      <c r="J209" s="1017"/>
      <c r="K209" s="637"/>
      <c r="L209" s="686"/>
      <c r="M209" s="686"/>
      <c r="N209" s="686"/>
      <c r="O209" s="686"/>
      <c r="P209" s="1020"/>
      <c r="Q209" s="1017"/>
    </row>
    <row r="210" spans="1:17" ht="15" thickBot="1" x14ac:dyDescent="0.35">
      <c r="A210" s="1039"/>
      <c r="B210" s="1050"/>
      <c r="C210" s="1044"/>
      <c r="D210" s="1047"/>
      <c r="E210" s="1047"/>
      <c r="F210" s="11"/>
      <c r="G210" s="1042"/>
      <c r="H210" s="1030"/>
      <c r="I210" s="1009"/>
      <c r="J210" s="1018"/>
      <c r="K210" s="638"/>
      <c r="L210" s="687"/>
      <c r="M210" s="687"/>
      <c r="N210" s="687"/>
      <c r="O210" s="687"/>
      <c r="P210" s="1021"/>
      <c r="Q210" s="1018"/>
    </row>
    <row r="211" spans="1:17" ht="15" thickBot="1" x14ac:dyDescent="0.35">
      <c r="D211" s="153"/>
      <c r="E211" s="1"/>
      <c r="L211" s="607"/>
      <c r="M211" s="510"/>
      <c r="N211" s="510"/>
      <c r="O211" s="584"/>
    </row>
    <row r="212" spans="1:17" x14ac:dyDescent="0.3">
      <c r="A212" s="1037" t="s">
        <v>165</v>
      </c>
      <c r="B212" s="1048" t="s">
        <v>166</v>
      </c>
      <c r="C212" s="1043"/>
      <c r="D212" s="1045" t="s">
        <v>157</v>
      </c>
      <c r="E212" s="1045" t="s">
        <v>164</v>
      </c>
      <c r="F212" s="2"/>
      <c r="G212" s="1040">
        <f>SUM('ENS COUSSIN DOS VERSION TETIERE'!F4)</f>
        <v>1.6019999999999999</v>
      </c>
      <c r="H212" s="1028" t="s">
        <v>159</v>
      </c>
      <c r="I212" s="1007" t="s">
        <v>160</v>
      </c>
      <c r="J212" s="1016" t="s">
        <v>161</v>
      </c>
      <c r="K212" s="636"/>
      <c r="L212" s="685"/>
      <c r="M212" s="685"/>
      <c r="N212" s="685"/>
      <c r="O212" s="685"/>
      <c r="P212" s="1019">
        <v>1800</v>
      </c>
      <c r="Q212" s="1016" t="s">
        <v>30</v>
      </c>
    </row>
    <row r="213" spans="1:17" x14ac:dyDescent="0.3">
      <c r="A213" s="1038"/>
      <c r="B213" s="1049"/>
      <c r="C213" s="985"/>
      <c r="D213" s="1046"/>
      <c r="E213" s="1046"/>
      <c r="G213" s="1041"/>
      <c r="H213" s="1029"/>
      <c r="I213" s="1008"/>
      <c r="J213" s="1017"/>
      <c r="K213" s="637"/>
      <c r="L213" s="686"/>
      <c r="M213" s="686"/>
      <c r="N213" s="686"/>
      <c r="O213" s="686"/>
      <c r="P213" s="1020"/>
      <c r="Q213" s="1017"/>
    </row>
    <row r="214" spans="1:17" x14ac:dyDescent="0.3">
      <c r="A214" s="1038"/>
      <c r="B214" s="1049"/>
      <c r="C214" s="985"/>
      <c r="D214" s="1046"/>
      <c r="E214" s="1046"/>
      <c r="G214" s="1041"/>
      <c r="H214" s="1029"/>
      <c r="I214" s="1008"/>
      <c r="J214" s="1017"/>
      <c r="K214" s="637"/>
      <c r="L214" s="686"/>
      <c r="M214" s="686"/>
      <c r="N214" s="686"/>
      <c r="O214" s="686"/>
      <c r="P214" s="1020"/>
      <c r="Q214" s="1017"/>
    </row>
    <row r="215" spans="1:17" x14ac:dyDescent="0.3">
      <c r="A215" s="1038"/>
      <c r="B215" s="1049"/>
      <c r="C215" s="985"/>
      <c r="D215" s="1046"/>
      <c r="E215" s="1046"/>
      <c r="G215" s="1041"/>
      <c r="H215" s="1029"/>
      <c r="I215" s="1008"/>
      <c r="J215" s="1017"/>
      <c r="K215" s="637" t="s">
        <v>167</v>
      </c>
      <c r="L215" s="686"/>
      <c r="M215" s="686"/>
      <c r="N215" s="686"/>
      <c r="O215" s="686"/>
      <c r="P215" s="1020"/>
      <c r="Q215" s="1017"/>
    </row>
    <row r="216" spans="1:17" x14ac:dyDescent="0.3">
      <c r="A216" s="1038"/>
      <c r="B216" s="1049"/>
      <c r="C216" s="985"/>
      <c r="D216" s="1046"/>
      <c r="E216" s="1046"/>
      <c r="G216" s="1041"/>
      <c r="H216" s="1029"/>
      <c r="I216" s="1008"/>
      <c r="J216" s="1017"/>
      <c r="K216" s="637"/>
      <c r="L216" s="686"/>
      <c r="M216" s="686"/>
      <c r="N216" s="686"/>
      <c r="O216" s="686"/>
      <c r="P216" s="1020"/>
      <c r="Q216" s="1017"/>
    </row>
    <row r="217" spans="1:17" x14ac:dyDescent="0.3">
      <c r="A217" s="1038"/>
      <c r="B217" s="1049"/>
      <c r="C217" s="985"/>
      <c r="D217" s="1046"/>
      <c r="E217" s="1046"/>
      <c r="G217" s="1041"/>
      <c r="H217" s="1029"/>
      <c r="I217" s="1008"/>
      <c r="J217" s="1017"/>
      <c r="K217" s="637"/>
      <c r="L217" s="686"/>
      <c r="M217" s="686"/>
      <c r="N217" s="686"/>
      <c r="O217" s="686"/>
      <c r="P217" s="1020"/>
      <c r="Q217" s="1017"/>
    </row>
    <row r="218" spans="1:17" ht="15" thickBot="1" x14ac:dyDescent="0.35">
      <c r="A218" s="1039"/>
      <c r="B218" s="1050"/>
      <c r="C218" s="1044"/>
      <c r="D218" s="1047"/>
      <c r="E218" s="1047"/>
      <c r="F218" s="11"/>
      <c r="G218" s="1042"/>
      <c r="H218" s="1030"/>
      <c r="I218" s="1009"/>
      <c r="J218" s="1018"/>
      <c r="K218" s="638"/>
      <c r="L218" s="687"/>
      <c r="M218" s="687"/>
      <c r="N218" s="687"/>
      <c r="O218" s="687"/>
      <c r="P218" s="1021"/>
      <c r="Q218" s="1018"/>
    </row>
    <row r="219" spans="1:17" ht="15" thickBot="1" x14ac:dyDescent="0.35">
      <c r="D219" s="153"/>
      <c r="E219" s="1"/>
      <c r="L219" s="607"/>
      <c r="M219" s="510"/>
      <c r="N219" s="510"/>
      <c r="O219" s="584"/>
    </row>
    <row r="220" spans="1:17" x14ac:dyDescent="0.3">
      <c r="A220" s="1037" t="s">
        <v>168</v>
      </c>
      <c r="B220" s="1048" t="s">
        <v>169</v>
      </c>
      <c r="C220" s="1043"/>
      <c r="D220" s="1045" t="s">
        <v>157</v>
      </c>
      <c r="E220" s="1045" t="s">
        <v>164</v>
      </c>
      <c r="F220" s="2"/>
      <c r="G220" s="1040">
        <f>SUM('ENS COUSSIN DOSSIER'!F4)</f>
        <v>1.8340000000000001</v>
      </c>
      <c r="H220" s="1028" t="s">
        <v>159</v>
      </c>
      <c r="I220" s="1007" t="s">
        <v>160</v>
      </c>
      <c r="J220" s="1016" t="s">
        <v>161</v>
      </c>
      <c r="K220" s="636"/>
      <c r="L220" s="685"/>
      <c r="M220" s="685"/>
      <c r="N220" s="685"/>
      <c r="O220" s="685"/>
      <c r="P220" s="1019">
        <v>1800</v>
      </c>
      <c r="Q220" s="1016" t="s">
        <v>30</v>
      </c>
    </row>
    <row r="221" spans="1:17" x14ac:dyDescent="0.3">
      <c r="A221" s="1038"/>
      <c r="B221" s="1049"/>
      <c r="C221" s="985"/>
      <c r="D221" s="1046"/>
      <c r="E221" s="1046"/>
      <c r="G221" s="1041"/>
      <c r="H221" s="1029"/>
      <c r="I221" s="1008"/>
      <c r="J221" s="1017"/>
      <c r="K221" s="637"/>
      <c r="L221" s="686"/>
      <c r="M221" s="686"/>
      <c r="N221" s="686"/>
      <c r="O221" s="686"/>
      <c r="P221" s="1020"/>
      <c r="Q221" s="1017"/>
    </row>
    <row r="222" spans="1:17" x14ac:dyDescent="0.3">
      <c r="A222" s="1038"/>
      <c r="B222" s="1049"/>
      <c r="C222" s="985"/>
      <c r="D222" s="1046"/>
      <c r="E222" s="1046"/>
      <c r="G222" s="1041"/>
      <c r="H222" s="1029"/>
      <c r="I222" s="1008"/>
      <c r="J222" s="1017"/>
      <c r="K222" s="637"/>
      <c r="L222" s="686"/>
      <c r="M222" s="686"/>
      <c r="N222" s="686"/>
      <c r="O222" s="686"/>
      <c r="P222" s="1020"/>
      <c r="Q222" s="1017"/>
    </row>
    <row r="223" spans="1:17" x14ac:dyDescent="0.3">
      <c r="A223" s="1038"/>
      <c r="B223" s="1049"/>
      <c r="C223" s="985"/>
      <c r="D223" s="1046"/>
      <c r="E223" s="1046"/>
      <c r="G223" s="1041"/>
      <c r="H223" s="1029"/>
      <c r="I223" s="1008"/>
      <c r="J223" s="1017"/>
      <c r="K223" s="637" t="s">
        <v>167</v>
      </c>
      <c r="L223" s="686"/>
      <c r="M223" s="686"/>
      <c r="N223" s="686"/>
      <c r="O223" s="686"/>
      <c r="P223" s="1020"/>
      <c r="Q223" s="1017"/>
    </row>
    <row r="224" spans="1:17" x14ac:dyDescent="0.3">
      <c r="A224" s="1038"/>
      <c r="B224" s="1049"/>
      <c r="C224" s="985"/>
      <c r="D224" s="1046"/>
      <c r="E224" s="1046"/>
      <c r="G224" s="1041"/>
      <c r="H224" s="1029"/>
      <c r="I224" s="1008"/>
      <c r="J224" s="1017"/>
      <c r="K224" s="637"/>
      <c r="L224" s="686"/>
      <c r="M224" s="686"/>
      <c r="N224" s="686"/>
      <c r="O224" s="686"/>
      <c r="P224" s="1020"/>
      <c r="Q224" s="1017"/>
    </row>
    <row r="225" spans="1:17" x14ac:dyDescent="0.3">
      <c r="A225" s="1038"/>
      <c r="B225" s="1049"/>
      <c r="C225" s="985"/>
      <c r="D225" s="1046"/>
      <c r="E225" s="1046"/>
      <c r="G225" s="1041"/>
      <c r="H225" s="1029"/>
      <c r="I225" s="1008"/>
      <c r="J225" s="1017"/>
      <c r="K225" s="637"/>
      <c r="L225" s="686"/>
      <c r="M225" s="686"/>
      <c r="N225" s="686"/>
      <c r="O225" s="686"/>
      <c r="P225" s="1020"/>
      <c r="Q225" s="1017"/>
    </row>
    <row r="226" spans="1:17" ht="15" thickBot="1" x14ac:dyDescent="0.35">
      <c r="A226" s="1039"/>
      <c r="B226" s="1050"/>
      <c r="C226" s="1044"/>
      <c r="D226" s="1047"/>
      <c r="E226" s="1047"/>
      <c r="F226" s="11"/>
      <c r="G226" s="1042"/>
      <c r="H226" s="1030"/>
      <c r="I226" s="1009"/>
      <c r="J226" s="1018"/>
      <c r="K226" s="638"/>
      <c r="L226" s="687"/>
      <c r="M226" s="687"/>
      <c r="N226" s="687"/>
      <c r="O226" s="687"/>
      <c r="P226" s="1021"/>
      <c r="Q226" s="1018"/>
    </row>
    <row r="227" spans="1:17" ht="15" thickBot="1" x14ac:dyDescent="0.35">
      <c r="D227" s="153"/>
      <c r="E227" s="1"/>
      <c r="L227" s="607"/>
      <c r="M227" s="510"/>
      <c r="N227" s="510"/>
      <c r="O227" s="584"/>
    </row>
    <row r="228" spans="1:17" x14ac:dyDescent="0.3">
      <c r="A228" s="1037" t="s">
        <v>170</v>
      </c>
      <c r="B228" s="1048" t="s">
        <v>171</v>
      </c>
      <c r="C228" s="1043"/>
      <c r="D228" s="1045" t="s">
        <v>157</v>
      </c>
      <c r="E228" s="1045" t="s">
        <v>164</v>
      </c>
      <c r="F228" s="2"/>
      <c r="G228" s="1040">
        <f>SUM('ENS COUSSIN ASSISE'!E4)</f>
        <v>1.2909999999999999</v>
      </c>
      <c r="H228" s="1028" t="s">
        <v>159</v>
      </c>
      <c r="I228" s="1007" t="s">
        <v>160</v>
      </c>
      <c r="J228" s="1016" t="s">
        <v>161</v>
      </c>
      <c r="K228" s="636"/>
      <c r="L228" s="685"/>
      <c r="M228" s="685"/>
      <c r="N228" s="685"/>
      <c r="O228" s="685"/>
      <c r="P228" s="1019">
        <v>1800</v>
      </c>
      <c r="Q228" s="1016" t="s">
        <v>30</v>
      </c>
    </row>
    <row r="229" spans="1:17" x14ac:dyDescent="0.3">
      <c r="A229" s="1038"/>
      <c r="B229" s="1049"/>
      <c r="C229" s="985"/>
      <c r="D229" s="1046"/>
      <c r="E229" s="1046"/>
      <c r="G229" s="1041"/>
      <c r="H229" s="1029"/>
      <c r="I229" s="1008"/>
      <c r="J229" s="1017"/>
      <c r="K229" s="637"/>
      <c r="L229" s="686"/>
      <c r="M229" s="686"/>
      <c r="N229" s="686"/>
      <c r="O229" s="686"/>
      <c r="P229" s="1020"/>
      <c r="Q229" s="1017"/>
    </row>
    <row r="230" spans="1:17" x14ac:dyDescent="0.3">
      <c r="A230" s="1038"/>
      <c r="B230" s="1049"/>
      <c r="C230" s="985"/>
      <c r="D230" s="1046"/>
      <c r="E230" s="1046"/>
      <c r="G230" s="1041"/>
      <c r="H230" s="1029"/>
      <c r="I230" s="1008"/>
      <c r="J230" s="1017"/>
      <c r="K230" s="637" t="s">
        <v>167</v>
      </c>
      <c r="L230" s="686"/>
      <c r="M230" s="686"/>
      <c r="N230" s="686"/>
      <c r="O230" s="686"/>
      <c r="P230" s="1020"/>
      <c r="Q230" s="1017"/>
    </row>
    <row r="231" spans="1:17" x14ac:dyDescent="0.3">
      <c r="A231" s="1038"/>
      <c r="B231" s="1049"/>
      <c r="C231" s="985"/>
      <c r="D231" s="1046"/>
      <c r="E231" s="1046"/>
      <c r="G231" s="1041"/>
      <c r="H231" s="1029"/>
      <c r="I231" s="1008"/>
      <c r="J231" s="1017"/>
      <c r="K231" s="637"/>
      <c r="L231" s="686"/>
      <c r="M231" s="686"/>
      <c r="N231" s="686"/>
      <c r="O231" s="686"/>
      <c r="P231" s="1020"/>
      <c r="Q231" s="1017"/>
    </row>
    <row r="232" spans="1:17" x14ac:dyDescent="0.3">
      <c r="A232" s="1038"/>
      <c r="B232" s="1049"/>
      <c r="C232" s="985"/>
      <c r="D232" s="1046"/>
      <c r="E232" s="1046"/>
      <c r="G232" s="1041"/>
      <c r="H232" s="1029"/>
      <c r="I232" s="1008"/>
      <c r="J232" s="1017"/>
      <c r="K232" s="637"/>
      <c r="L232" s="686"/>
      <c r="M232" s="686"/>
      <c r="N232" s="686"/>
      <c r="O232" s="686"/>
      <c r="P232" s="1020"/>
      <c r="Q232" s="1017"/>
    </row>
    <row r="233" spans="1:17" x14ac:dyDescent="0.3">
      <c r="A233" s="1038"/>
      <c r="B233" s="1049"/>
      <c r="C233" s="985"/>
      <c r="D233" s="1046"/>
      <c r="E233" s="1046"/>
      <c r="G233" s="1041"/>
      <c r="H233" s="1029"/>
      <c r="I233" s="1008"/>
      <c r="J233" s="1017"/>
      <c r="K233" s="637"/>
      <c r="L233" s="686"/>
      <c r="M233" s="686"/>
      <c r="N233" s="686"/>
      <c r="O233" s="686"/>
      <c r="P233" s="1020"/>
      <c r="Q233" s="1017"/>
    </row>
    <row r="234" spans="1:17" ht="15" thickBot="1" x14ac:dyDescent="0.35">
      <c r="A234" s="1039"/>
      <c r="B234" s="1050"/>
      <c r="C234" s="1044"/>
      <c r="D234" s="1047"/>
      <c r="E234" s="1047"/>
      <c r="F234" s="11"/>
      <c r="G234" s="1042"/>
      <c r="H234" s="1030"/>
      <c r="I234" s="1009"/>
      <c r="J234" s="1018"/>
      <c r="K234" s="638"/>
      <c r="L234" s="687"/>
      <c r="M234" s="687"/>
      <c r="N234" s="687"/>
      <c r="O234" s="687"/>
      <c r="P234" s="1021"/>
      <c r="Q234" s="1018"/>
    </row>
    <row r="236" spans="1:17" ht="15" thickBot="1" x14ac:dyDescent="0.35"/>
    <row r="237" spans="1:17" s="17" customFormat="1" ht="15" thickBot="1" x14ac:dyDescent="0.35">
      <c r="A237" s="723" t="s">
        <v>172</v>
      </c>
      <c r="B237" s="698"/>
      <c r="C237" s="763"/>
      <c r="G237" s="720">
        <v>2.5680000000000001</v>
      </c>
      <c r="I237" s="764"/>
      <c r="J237" s="764"/>
      <c r="K237"/>
    </row>
    <row r="238" spans="1:17" ht="15" thickBot="1" x14ac:dyDescent="0.35">
      <c r="A238" s="723" t="s">
        <v>173</v>
      </c>
      <c r="B238" s="698"/>
      <c r="C238" s="763"/>
      <c r="D238"/>
      <c r="F238"/>
      <c r="G238" s="720">
        <v>0.9</v>
      </c>
      <c r="I238" s="713" t="s">
        <v>174</v>
      </c>
      <c r="J238" s="720" t="s">
        <v>175</v>
      </c>
    </row>
    <row r="239" spans="1:17" ht="15" thickBot="1" x14ac:dyDescent="0.35">
      <c r="D239"/>
      <c r="F239"/>
    </row>
    <row r="240" spans="1:17" ht="15" thickBot="1" x14ac:dyDescent="0.35">
      <c r="A240" s="1071" t="s">
        <v>176</v>
      </c>
      <c r="B240" s="765" t="s">
        <v>177</v>
      </c>
      <c r="C240" s="763"/>
      <c r="D240"/>
      <c r="F240"/>
      <c r="G240" s="720">
        <v>0.95</v>
      </c>
      <c r="H240" s="720"/>
      <c r="I240" s="1007" t="s">
        <v>178</v>
      </c>
      <c r="J240" s="1007" t="s">
        <v>179</v>
      </c>
    </row>
    <row r="241" spans="1:18" ht="15" thickBot="1" x14ac:dyDescent="0.35">
      <c r="A241" s="1072"/>
      <c r="B241" s="13" t="s">
        <v>180</v>
      </c>
      <c r="C241" s="764"/>
      <c r="D241"/>
      <c r="F241"/>
      <c r="G241" s="720">
        <v>0.3</v>
      </c>
      <c r="H241" s="712"/>
      <c r="I241" s="1009"/>
      <c r="J241" s="1009"/>
    </row>
    <row r="242" spans="1:18" x14ac:dyDescent="0.3">
      <c r="D242" s="1"/>
      <c r="F242"/>
    </row>
    <row r="243" spans="1:18" ht="15" customHeight="1" x14ac:dyDescent="0.3">
      <c r="R243" s="129"/>
    </row>
    <row r="244" spans="1:18" ht="15" customHeight="1" x14ac:dyDescent="0.3">
      <c r="A244"/>
      <c r="C244"/>
      <c r="D244"/>
      <c r="F244"/>
      <c r="G244"/>
      <c r="R244" s="129"/>
    </row>
    <row r="245" spans="1:18" ht="15.75" customHeight="1" x14ac:dyDescent="0.3">
      <c r="R245" s="129"/>
    </row>
  </sheetData>
  <mergeCells count="336">
    <mergeCell ref="A240:A241"/>
    <mergeCell ref="I240:I241"/>
    <mergeCell ref="J240:J241"/>
    <mergeCell ref="J14:J15"/>
    <mergeCell ref="P140:P141"/>
    <mergeCell ref="P142:P144"/>
    <mergeCell ref="P145:P146"/>
    <mergeCell ref="I196:I202"/>
    <mergeCell ref="I204:I210"/>
    <mergeCell ref="I212:I218"/>
    <mergeCell ref="I220:I226"/>
    <mergeCell ref="I228:I234"/>
    <mergeCell ref="I140:I141"/>
    <mergeCell ref="I142:I144"/>
    <mergeCell ref="I145:I146"/>
    <mergeCell ref="K140:K141"/>
    <mergeCell ref="K142:K144"/>
    <mergeCell ref="K145:K146"/>
    <mergeCell ref="I148:I149"/>
    <mergeCell ref="K148:K149"/>
    <mergeCell ref="I150:I152"/>
    <mergeCell ref="K150:K152"/>
    <mergeCell ref="I153:I154"/>
    <mergeCell ref="K153:K154"/>
    <mergeCell ref="J188:J191"/>
    <mergeCell ref="J192:J194"/>
    <mergeCell ref="P188:P191"/>
    <mergeCell ref="P192:P194"/>
    <mergeCell ref="R5:R12"/>
    <mergeCell ref="I76:I82"/>
    <mergeCell ref="I84:I90"/>
    <mergeCell ref="I108:I114"/>
    <mergeCell ref="I124:I130"/>
    <mergeCell ref="I156:I162"/>
    <mergeCell ref="I164:I170"/>
    <mergeCell ref="R140:R146"/>
    <mergeCell ref="R148:R154"/>
    <mergeCell ref="I5:I12"/>
    <mergeCell ref="J5:J12"/>
    <mergeCell ref="P5:P12"/>
    <mergeCell ref="Q5:Q12"/>
    <mergeCell ref="P14:P26"/>
    <mergeCell ref="Q14:Q26"/>
    <mergeCell ref="J28:J34"/>
    <mergeCell ref="J36:J42"/>
    <mergeCell ref="I172:I178"/>
    <mergeCell ref="I180:I186"/>
    <mergeCell ref="I188:I191"/>
    <mergeCell ref="A228:A234"/>
    <mergeCell ref="B228:B234"/>
    <mergeCell ref="C228:C234"/>
    <mergeCell ref="D228:D234"/>
    <mergeCell ref="E228:E234"/>
    <mergeCell ref="G228:G234"/>
    <mergeCell ref="A220:A226"/>
    <mergeCell ref="B220:B226"/>
    <mergeCell ref="C220:C226"/>
    <mergeCell ref="D220:D226"/>
    <mergeCell ref="E220:E226"/>
    <mergeCell ref="A212:A218"/>
    <mergeCell ref="B212:B218"/>
    <mergeCell ref="C212:C218"/>
    <mergeCell ref="D212:D218"/>
    <mergeCell ref="E212:E218"/>
    <mergeCell ref="G212:G218"/>
    <mergeCell ref="A204:A210"/>
    <mergeCell ref="B204:B210"/>
    <mergeCell ref="G220:G226"/>
    <mergeCell ref="C204:C210"/>
    <mergeCell ref="D204:D210"/>
    <mergeCell ref="E204:E210"/>
    <mergeCell ref="G204:G210"/>
    <mergeCell ref="A196:A202"/>
    <mergeCell ref="B196:B202"/>
    <mergeCell ref="C196:C202"/>
    <mergeCell ref="D196:D202"/>
    <mergeCell ref="E196:E202"/>
    <mergeCell ref="G196:G202"/>
    <mergeCell ref="A188:A194"/>
    <mergeCell ref="B188:B194"/>
    <mergeCell ref="C188:C194"/>
    <mergeCell ref="D188:D194"/>
    <mergeCell ref="E188:E194"/>
    <mergeCell ref="I192:I194"/>
    <mergeCell ref="G172:G178"/>
    <mergeCell ref="A180:A186"/>
    <mergeCell ref="B180:B186"/>
    <mergeCell ref="C180:C186"/>
    <mergeCell ref="D180:D186"/>
    <mergeCell ref="E180:E186"/>
    <mergeCell ref="G180:G186"/>
    <mergeCell ref="A172:A178"/>
    <mergeCell ref="B172:B178"/>
    <mergeCell ref="C172:C178"/>
    <mergeCell ref="D172:D178"/>
    <mergeCell ref="E172:E178"/>
    <mergeCell ref="G188:G194"/>
    <mergeCell ref="G156:G162"/>
    <mergeCell ref="A164:A170"/>
    <mergeCell ref="B164:B170"/>
    <mergeCell ref="C164:C170"/>
    <mergeCell ref="D164:D170"/>
    <mergeCell ref="E164:E170"/>
    <mergeCell ref="G164:G170"/>
    <mergeCell ref="A156:A162"/>
    <mergeCell ref="B156:B162"/>
    <mergeCell ref="C156:C162"/>
    <mergeCell ref="D156:D162"/>
    <mergeCell ref="E156:E162"/>
    <mergeCell ref="G140:G146"/>
    <mergeCell ref="A148:A154"/>
    <mergeCell ref="B148:B154"/>
    <mergeCell ref="C148:C154"/>
    <mergeCell ref="D148:D154"/>
    <mergeCell ref="E148:E154"/>
    <mergeCell ref="G148:G154"/>
    <mergeCell ref="A140:A146"/>
    <mergeCell ref="B140:B146"/>
    <mergeCell ref="C140:C146"/>
    <mergeCell ref="D140:D146"/>
    <mergeCell ref="E140:E146"/>
    <mergeCell ref="G124:G130"/>
    <mergeCell ref="A132:A138"/>
    <mergeCell ref="B132:B138"/>
    <mergeCell ref="C132:C138"/>
    <mergeCell ref="D132:D138"/>
    <mergeCell ref="E132:E138"/>
    <mergeCell ref="G132:G138"/>
    <mergeCell ref="A124:A130"/>
    <mergeCell ref="B124:B130"/>
    <mergeCell ref="C124:C130"/>
    <mergeCell ref="D124:D130"/>
    <mergeCell ref="E124:E130"/>
    <mergeCell ref="G108:G114"/>
    <mergeCell ref="A116:A122"/>
    <mergeCell ref="B116:B122"/>
    <mergeCell ref="C116:C122"/>
    <mergeCell ref="D116:D122"/>
    <mergeCell ref="E116:E122"/>
    <mergeCell ref="G116:G122"/>
    <mergeCell ref="A108:A114"/>
    <mergeCell ref="B108:B114"/>
    <mergeCell ref="C108:C114"/>
    <mergeCell ref="D108:D114"/>
    <mergeCell ref="E108:E114"/>
    <mergeCell ref="G92:G98"/>
    <mergeCell ref="A100:A106"/>
    <mergeCell ref="B100:B106"/>
    <mergeCell ref="C100:C106"/>
    <mergeCell ref="D100:D106"/>
    <mergeCell ref="E100:E106"/>
    <mergeCell ref="G100:G106"/>
    <mergeCell ref="A92:A98"/>
    <mergeCell ref="B92:B98"/>
    <mergeCell ref="C92:C98"/>
    <mergeCell ref="D92:D98"/>
    <mergeCell ref="E92:E98"/>
    <mergeCell ref="G76:G82"/>
    <mergeCell ref="A84:A90"/>
    <mergeCell ref="B84:B90"/>
    <mergeCell ref="C84:C90"/>
    <mergeCell ref="D84:D90"/>
    <mergeCell ref="E84:E90"/>
    <mergeCell ref="G84:G90"/>
    <mergeCell ref="A76:A82"/>
    <mergeCell ref="B76:B82"/>
    <mergeCell ref="C76:C82"/>
    <mergeCell ref="D76:D82"/>
    <mergeCell ref="E76:E82"/>
    <mergeCell ref="G60:G66"/>
    <mergeCell ref="A68:A74"/>
    <mergeCell ref="B68:B74"/>
    <mergeCell ref="C68:C74"/>
    <mergeCell ref="D68:D74"/>
    <mergeCell ref="E68:E74"/>
    <mergeCell ref="G68:G74"/>
    <mergeCell ref="A60:A66"/>
    <mergeCell ref="B60:B66"/>
    <mergeCell ref="C60:C66"/>
    <mergeCell ref="D60:D66"/>
    <mergeCell ref="E60:E66"/>
    <mergeCell ref="G44:G50"/>
    <mergeCell ref="A52:A58"/>
    <mergeCell ref="B52:B58"/>
    <mergeCell ref="C52:C58"/>
    <mergeCell ref="D52:D58"/>
    <mergeCell ref="E52:E58"/>
    <mergeCell ref="G52:G58"/>
    <mergeCell ref="A44:A50"/>
    <mergeCell ref="B44:B50"/>
    <mergeCell ref="C44:C50"/>
    <mergeCell ref="D44:D50"/>
    <mergeCell ref="E44:E50"/>
    <mergeCell ref="A36:A42"/>
    <mergeCell ref="G36:G42"/>
    <mergeCell ref="C36:C42"/>
    <mergeCell ref="D36:D42"/>
    <mergeCell ref="E36:E42"/>
    <mergeCell ref="B36:B42"/>
    <mergeCell ref="F6:F7"/>
    <mergeCell ref="F9:F10"/>
    <mergeCell ref="C28:C34"/>
    <mergeCell ref="A28:A34"/>
    <mergeCell ref="B28:B34"/>
    <mergeCell ref="D28:D34"/>
    <mergeCell ref="G28:G34"/>
    <mergeCell ref="E28:E34"/>
    <mergeCell ref="A5:A12"/>
    <mergeCell ref="C5:C12"/>
    <mergeCell ref="A14:A26"/>
    <mergeCell ref="C14:C26"/>
    <mergeCell ref="B7:B8"/>
    <mergeCell ref="B9:B11"/>
    <mergeCell ref="H116:H122"/>
    <mergeCell ref="H124:H130"/>
    <mergeCell ref="H132:H138"/>
    <mergeCell ref="H140:H146"/>
    <mergeCell ref="H148:H154"/>
    <mergeCell ref="H5:H12"/>
    <mergeCell ref="H14:H26"/>
    <mergeCell ref="H28:H34"/>
    <mergeCell ref="H36:H42"/>
    <mergeCell ref="H44:H50"/>
    <mergeCell ref="H52:H58"/>
    <mergeCell ref="H60:H66"/>
    <mergeCell ref="H68:H74"/>
    <mergeCell ref="H76:H82"/>
    <mergeCell ref="H228:H234"/>
    <mergeCell ref="I14:I26"/>
    <mergeCell ref="I28:I34"/>
    <mergeCell ref="I36:I42"/>
    <mergeCell ref="I44:I50"/>
    <mergeCell ref="I60:I66"/>
    <mergeCell ref="I68:I74"/>
    <mergeCell ref="I92:I98"/>
    <mergeCell ref="I100:I106"/>
    <mergeCell ref="I116:I122"/>
    <mergeCell ref="I132:I138"/>
    <mergeCell ref="H156:H162"/>
    <mergeCell ref="H164:H170"/>
    <mergeCell ref="H172:H178"/>
    <mergeCell ref="H180:H186"/>
    <mergeCell ref="H188:H194"/>
    <mergeCell ref="H196:H202"/>
    <mergeCell ref="H204:H210"/>
    <mergeCell ref="H212:H218"/>
    <mergeCell ref="H220:H226"/>
    <mergeCell ref="H84:H90"/>
    <mergeCell ref="H92:H98"/>
    <mergeCell ref="H100:H106"/>
    <mergeCell ref="H108:H114"/>
    <mergeCell ref="J44:J50"/>
    <mergeCell ref="P44:P50"/>
    <mergeCell ref="Q44:Q50"/>
    <mergeCell ref="J52:J58"/>
    <mergeCell ref="P52:P58"/>
    <mergeCell ref="Q52:Q58"/>
    <mergeCell ref="J60:J66"/>
    <mergeCell ref="P60:P66"/>
    <mergeCell ref="Q60:Q66"/>
    <mergeCell ref="J68:J74"/>
    <mergeCell ref="P68:P74"/>
    <mergeCell ref="Q68:Q74"/>
    <mergeCell ref="J76:J82"/>
    <mergeCell ref="P76:P82"/>
    <mergeCell ref="Q76:Q82"/>
    <mergeCell ref="P84:P90"/>
    <mergeCell ref="J84:J90"/>
    <mergeCell ref="Q84:Q90"/>
    <mergeCell ref="J92:J98"/>
    <mergeCell ref="P92:P98"/>
    <mergeCell ref="Q92:Q98"/>
    <mergeCell ref="J100:J106"/>
    <mergeCell ref="P100:P106"/>
    <mergeCell ref="Q100:Q106"/>
    <mergeCell ref="J108:J114"/>
    <mergeCell ref="P108:P114"/>
    <mergeCell ref="Q108:Q114"/>
    <mergeCell ref="Q172:Q178"/>
    <mergeCell ref="J132:J138"/>
    <mergeCell ref="P132:P138"/>
    <mergeCell ref="Q132:Q138"/>
    <mergeCell ref="J116:J122"/>
    <mergeCell ref="P116:P122"/>
    <mergeCell ref="Q116:Q122"/>
    <mergeCell ref="J124:J130"/>
    <mergeCell ref="P124:P130"/>
    <mergeCell ref="Q124:Q130"/>
    <mergeCell ref="Q156:Q162"/>
    <mergeCell ref="J164:J170"/>
    <mergeCell ref="P164:P170"/>
    <mergeCell ref="Q164:Q170"/>
    <mergeCell ref="J140:J141"/>
    <mergeCell ref="J142:J144"/>
    <mergeCell ref="J145:J146"/>
    <mergeCell ref="J148:J149"/>
    <mergeCell ref="J150:J152"/>
    <mergeCell ref="J153:J154"/>
    <mergeCell ref="J228:J234"/>
    <mergeCell ref="P228:P234"/>
    <mergeCell ref="Q228:Q234"/>
    <mergeCell ref="I52:I58"/>
    <mergeCell ref="J204:J210"/>
    <mergeCell ref="P204:P210"/>
    <mergeCell ref="Q204:Q210"/>
    <mergeCell ref="J212:J218"/>
    <mergeCell ref="P212:P218"/>
    <mergeCell ref="Q212:Q218"/>
    <mergeCell ref="J220:J226"/>
    <mergeCell ref="P220:P226"/>
    <mergeCell ref="Q220:Q226"/>
    <mergeCell ref="J180:J186"/>
    <mergeCell ref="P180:P186"/>
    <mergeCell ref="Q180:Q186"/>
    <mergeCell ref="Q188:Q194"/>
    <mergeCell ref="J196:J202"/>
    <mergeCell ref="P196:P202"/>
    <mergeCell ref="Q196:Q202"/>
    <mergeCell ref="J156:J162"/>
    <mergeCell ref="P156:P162"/>
    <mergeCell ref="J172:J178"/>
    <mergeCell ref="P172:P178"/>
    <mergeCell ref="L1:O1"/>
    <mergeCell ref="Q148:Q149"/>
    <mergeCell ref="Q150:Q152"/>
    <mergeCell ref="Q153:Q154"/>
    <mergeCell ref="Q140:Q141"/>
    <mergeCell ref="Q142:Q144"/>
    <mergeCell ref="Q145:Q146"/>
    <mergeCell ref="P148:P149"/>
    <mergeCell ref="P150:P152"/>
    <mergeCell ref="P153:P154"/>
    <mergeCell ref="P36:P42"/>
    <mergeCell ref="Q36:Q42"/>
    <mergeCell ref="P28:P34"/>
    <mergeCell ref="Q28:Q34"/>
  </mergeCell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Feuil15"/>
  <dimension ref="A1:K227"/>
  <sheetViews>
    <sheetView topLeftCell="C1" zoomScale="70" zoomScaleNormal="70" workbookViewId="0">
      <selection activeCell="E4" sqref="E4:E8"/>
    </sheetView>
  </sheetViews>
  <sheetFormatPr baseColWidth="10" defaultColWidth="11.44140625" defaultRowHeight="14.4" x14ac:dyDescent="0.3"/>
  <cols>
    <col min="1" max="1" width="39.109375" style="29" bestFit="1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31.4414062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106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105</v>
      </c>
      <c r="B4" s="1025" t="s">
        <v>106</v>
      </c>
      <c r="C4" s="1034" t="s">
        <v>90</v>
      </c>
      <c r="D4" s="125" t="s">
        <v>234</v>
      </c>
      <c r="E4" s="125">
        <f>SUM(E5:E8)</f>
        <v>0.20499999999999999</v>
      </c>
      <c r="F4" s="1043"/>
      <c r="G4" s="1007" t="s">
        <v>483</v>
      </c>
      <c r="H4" s="1007" t="s">
        <v>99</v>
      </c>
      <c r="I4" s="1016" t="s">
        <v>100</v>
      </c>
      <c r="J4" s="1016">
        <v>515</v>
      </c>
      <c r="K4" s="1136" t="s">
        <v>30</v>
      </c>
    </row>
    <row r="5" spans="1:11" x14ac:dyDescent="0.3">
      <c r="A5" s="1113"/>
      <c r="B5" s="1026"/>
      <c r="C5" s="1035"/>
      <c r="D5" s="72" t="s">
        <v>91</v>
      </c>
      <c r="E5" s="72">
        <f>SUM(E13:E13)</f>
        <v>2.4E-2</v>
      </c>
      <c r="F5" s="985"/>
      <c r="G5" s="1008"/>
      <c r="H5" s="1008"/>
      <c r="I5" s="1017"/>
      <c r="J5" s="1017"/>
      <c r="K5" s="1137"/>
    </row>
    <row r="6" spans="1:11" x14ac:dyDescent="0.3">
      <c r="A6" s="1113"/>
      <c r="B6" s="1026"/>
      <c r="C6" s="1035"/>
      <c r="D6" s="140" t="s">
        <v>245</v>
      </c>
      <c r="E6" s="140">
        <f>SUM(E14:E14)</f>
        <v>6.0000000000000001E-3</v>
      </c>
      <c r="F6" s="985"/>
      <c r="G6" s="1008"/>
      <c r="H6" s="1008"/>
      <c r="I6" s="1145"/>
      <c r="J6" s="1145"/>
      <c r="K6" s="1142"/>
    </row>
    <row r="7" spans="1:11" x14ac:dyDescent="0.3">
      <c r="A7" s="1113"/>
      <c r="B7" s="1026"/>
      <c r="C7" s="1035"/>
      <c r="D7" s="319" t="s">
        <v>253</v>
      </c>
      <c r="E7" s="319">
        <f>SUM(E15:E16)</f>
        <v>2.4E-2</v>
      </c>
      <c r="F7" s="985"/>
      <c r="G7" s="1008"/>
      <c r="H7" s="1008"/>
      <c r="I7" s="1145"/>
      <c r="J7" s="1145"/>
      <c r="K7" s="1142"/>
    </row>
    <row r="8" spans="1:11" x14ac:dyDescent="0.3">
      <c r="A8" s="1113"/>
      <c r="B8" s="1026"/>
      <c r="C8" s="1035"/>
      <c r="D8" s="439" t="s">
        <v>274</v>
      </c>
      <c r="E8" s="439">
        <f>SUM(E17:E17)</f>
        <v>0.151</v>
      </c>
      <c r="F8" s="985"/>
      <c r="G8" s="1008"/>
      <c r="H8" s="1008"/>
      <c r="I8" s="1145"/>
      <c r="J8" s="1145"/>
      <c r="K8" s="1142"/>
    </row>
    <row r="9" spans="1:11" x14ac:dyDescent="0.3">
      <c r="A9" s="1113"/>
      <c r="B9" s="1026"/>
      <c r="C9" s="1035"/>
      <c r="D9" s="123"/>
      <c r="E9" s="123"/>
      <c r="F9" s="985"/>
      <c r="G9" s="1008"/>
      <c r="H9" s="1008"/>
      <c r="I9" s="1145"/>
      <c r="J9" s="1145"/>
      <c r="K9" s="1142"/>
    </row>
    <row r="10" spans="1:11" ht="15" thickBot="1" x14ac:dyDescent="0.35">
      <c r="A10" s="1072"/>
      <c r="B10" s="1027"/>
      <c r="C10" s="1036"/>
      <c r="D10" s="80"/>
      <c r="E10" s="53"/>
      <c r="F10" s="1044"/>
      <c r="G10" s="1009"/>
      <c r="H10" s="1009"/>
      <c r="I10" s="1018"/>
      <c r="J10" s="1018"/>
      <c r="K10" s="1138"/>
    </row>
    <row r="11" spans="1:11" ht="15" thickBot="1" x14ac:dyDescent="0.35">
      <c r="A11"/>
      <c r="C11" s="3"/>
      <c r="E11" s="1"/>
      <c r="F11"/>
    </row>
    <row r="12" spans="1:11" x14ac:dyDescent="0.3">
      <c r="A12" s="1101" t="s">
        <v>105</v>
      </c>
      <c r="B12" s="83" t="s">
        <v>106</v>
      </c>
      <c r="C12" s="44"/>
      <c r="D12" s="141" t="s">
        <v>532</v>
      </c>
      <c r="E12" s="92">
        <f>SUM(E13:E18)</f>
        <v>0.20500000000000002</v>
      </c>
      <c r="F12" s="5"/>
      <c r="G12" s="38"/>
      <c r="H12" s="5"/>
      <c r="I12" s="5"/>
      <c r="J12" s="5"/>
      <c r="K12" s="6"/>
    </row>
    <row r="13" spans="1:11" x14ac:dyDescent="0.3">
      <c r="A13" s="1102"/>
      <c r="B13" s="97" t="s">
        <v>962</v>
      </c>
      <c r="C13" s="69"/>
      <c r="D13" s="159" t="s">
        <v>91</v>
      </c>
      <c r="E13" s="99">
        <v>2.4E-2</v>
      </c>
      <c r="F13" s="3"/>
      <c r="G13" s="3"/>
      <c r="K13" s="8"/>
    </row>
    <row r="14" spans="1:11" x14ac:dyDescent="0.3">
      <c r="A14" s="1102"/>
      <c r="B14" s="138" t="s">
        <v>963</v>
      </c>
      <c r="C14" s="69"/>
      <c r="D14" s="124" t="s">
        <v>245</v>
      </c>
      <c r="E14" s="139">
        <v>6.0000000000000001E-3</v>
      </c>
      <c r="F14" s="3"/>
      <c r="G14" s="3"/>
      <c r="K14" s="8"/>
    </row>
    <row r="15" spans="1:11" x14ac:dyDescent="0.3">
      <c r="A15" s="1102"/>
      <c r="B15" s="193" t="s">
        <v>964</v>
      </c>
      <c r="C15" s="3"/>
      <c r="D15" s="1096" t="s">
        <v>253</v>
      </c>
      <c r="E15" s="173">
        <v>4.0000000000000001E-3</v>
      </c>
      <c r="F15" s="3"/>
      <c r="K15" s="8"/>
    </row>
    <row r="16" spans="1:11" x14ac:dyDescent="0.3">
      <c r="A16" s="1102"/>
      <c r="B16" s="193" t="s">
        <v>965</v>
      </c>
      <c r="C16" s="3"/>
      <c r="D16" s="1096"/>
      <c r="E16" s="173">
        <v>0.02</v>
      </c>
      <c r="F16" s="3"/>
      <c r="K16" s="8"/>
    </row>
    <row r="17" spans="1:11" x14ac:dyDescent="0.3">
      <c r="A17" s="1102"/>
      <c r="B17" s="380" t="s">
        <v>960</v>
      </c>
      <c r="C17" s="3"/>
      <c r="D17" s="379" t="s">
        <v>274</v>
      </c>
      <c r="E17" s="379">
        <v>0.151</v>
      </c>
      <c r="F17" s="3"/>
      <c r="K17" s="8"/>
    </row>
    <row r="18" spans="1:11" ht="15" thickBot="1" x14ac:dyDescent="0.35">
      <c r="A18" s="1103"/>
      <c r="B18" s="110"/>
      <c r="C18" s="11"/>
      <c r="D18" s="89"/>
      <c r="E18" s="89"/>
      <c r="F18" s="11"/>
      <c r="G18" s="9"/>
      <c r="H18" s="9"/>
      <c r="I18" s="9"/>
      <c r="J18" s="9"/>
      <c r="K18" s="10"/>
    </row>
    <row r="19" spans="1:11" x14ac:dyDescent="0.3">
      <c r="A19"/>
      <c r="C19"/>
      <c r="E19"/>
      <c r="F19"/>
    </row>
    <row r="20" spans="1:11" x14ac:dyDescent="0.3">
      <c r="A20"/>
      <c r="C20"/>
      <c r="E20"/>
      <c r="F20"/>
    </row>
    <row r="21" spans="1:11" x14ac:dyDescent="0.3">
      <c r="A21"/>
      <c r="C21"/>
      <c r="E21"/>
      <c r="F21"/>
    </row>
    <row r="22" spans="1:11" x14ac:dyDescent="0.3">
      <c r="A22"/>
      <c r="C22"/>
      <c r="E22"/>
      <c r="F22"/>
    </row>
    <row r="23" spans="1:11" x14ac:dyDescent="0.3">
      <c r="A23"/>
      <c r="C23"/>
      <c r="E23"/>
      <c r="F23"/>
    </row>
    <row r="24" spans="1:11" x14ac:dyDescent="0.3">
      <c r="A24"/>
      <c r="C24"/>
      <c r="E24"/>
      <c r="F24"/>
    </row>
    <row r="25" spans="1:11" x14ac:dyDescent="0.3">
      <c r="A25"/>
      <c r="C25"/>
      <c r="E25"/>
      <c r="F25"/>
    </row>
    <row r="26" spans="1:11" x14ac:dyDescent="0.3">
      <c r="A26"/>
      <c r="C26"/>
      <c r="E26"/>
      <c r="F26"/>
    </row>
    <row r="27" spans="1:11" x14ac:dyDescent="0.3">
      <c r="A27"/>
      <c r="C27"/>
      <c r="E27"/>
      <c r="F27"/>
    </row>
    <row r="28" spans="1:11" x14ac:dyDescent="0.3">
      <c r="A28"/>
      <c r="C28"/>
      <c r="E28"/>
      <c r="F28"/>
    </row>
    <row r="29" spans="1:11" x14ac:dyDescent="0.3">
      <c r="A29"/>
      <c r="C29"/>
      <c r="E29"/>
      <c r="F29"/>
    </row>
    <row r="30" spans="1:11" x14ac:dyDescent="0.3">
      <c r="A30"/>
      <c r="C30"/>
      <c r="E30"/>
      <c r="F30"/>
    </row>
    <row r="31" spans="1:11" x14ac:dyDescent="0.3">
      <c r="A31"/>
      <c r="C31"/>
      <c r="E31"/>
      <c r="F31"/>
    </row>
    <row r="32" spans="1:11" ht="15" customHeight="1" x14ac:dyDescent="0.3">
      <c r="A32"/>
      <c r="C32"/>
      <c r="E32"/>
      <c r="F32"/>
    </row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ht="15" customHeight="1" x14ac:dyDescent="0.3"/>
    <row r="61" customFormat="1" x14ac:dyDescent="0.3"/>
    <row r="62" customFormat="1" x14ac:dyDescent="0.3"/>
    <row r="63" customFormat="1" x14ac:dyDescent="0.3"/>
    <row r="64" customFormat="1" ht="15" customHeight="1" x14ac:dyDescent="0.3"/>
    <row r="65" customFormat="1" x14ac:dyDescent="0.3"/>
    <row r="66" customFormat="1" x14ac:dyDescent="0.3"/>
    <row r="67" customFormat="1" ht="15" customHeigh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ht="15" customHeight="1" x14ac:dyDescent="0.3"/>
    <row r="103" customFormat="1" x14ac:dyDescent="0.3"/>
    <row r="104" customFormat="1" x14ac:dyDescent="0.3"/>
    <row r="105" customFormat="1" ht="15" customHeigh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ht="15" customHeigh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spans="1:6" customForma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ht="15" customHeight="1" x14ac:dyDescent="0.3"/>
    <row r="134" spans="1:6" customFormat="1" x14ac:dyDescent="0.3"/>
    <row r="135" spans="1:6" customFormat="1" x14ac:dyDescent="0.3"/>
    <row r="136" spans="1:6" customFormat="1" x14ac:dyDescent="0.3"/>
    <row r="137" spans="1:6" customFormat="1" x14ac:dyDescent="0.3"/>
    <row r="138" spans="1:6" customFormat="1" x14ac:dyDescent="0.3"/>
    <row r="139" spans="1:6" customFormat="1" x14ac:dyDescent="0.3"/>
    <row r="140" spans="1:6" x14ac:dyDescent="0.3">
      <c r="A140"/>
      <c r="C140" s="3"/>
      <c r="E140" s="1"/>
      <c r="F140"/>
    </row>
    <row r="141" spans="1:6" x14ac:dyDescent="0.3">
      <c r="A141"/>
      <c r="C141" s="3"/>
      <c r="E141" s="1"/>
      <c r="F141"/>
    </row>
    <row r="142" spans="1:6" x14ac:dyDescent="0.3">
      <c r="A142"/>
      <c r="C142" s="3"/>
      <c r="E142" s="1"/>
      <c r="F142"/>
    </row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ht="15" customHeight="1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ht="15" customHeight="1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</sheetData>
  <mergeCells count="11">
    <mergeCell ref="H4:H10"/>
    <mergeCell ref="I4:I10"/>
    <mergeCell ref="J4:J10"/>
    <mergeCell ref="K4:K10"/>
    <mergeCell ref="A12:A18"/>
    <mergeCell ref="D15:D16"/>
    <mergeCell ref="A4:A10"/>
    <mergeCell ref="B4:B10"/>
    <mergeCell ref="C4:C10"/>
    <mergeCell ref="F4:F10"/>
    <mergeCell ref="G4:G10"/>
  </mergeCell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 codeName="Feuil16"/>
  <dimension ref="A1:K235"/>
  <sheetViews>
    <sheetView topLeftCell="C1" zoomScale="70" zoomScaleNormal="70" workbookViewId="0">
      <selection activeCell="E40" sqref="E40"/>
    </sheetView>
  </sheetViews>
  <sheetFormatPr baseColWidth="10" defaultColWidth="11.44140625" defaultRowHeight="14.4" x14ac:dyDescent="0.3"/>
  <cols>
    <col min="1" max="1" width="39.109375" style="29" bestFit="1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31.4414062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ht="15" thickBot="1" x14ac:dyDescent="0.35">
      <c r="A2" s="31"/>
      <c r="B2" s="113" t="s">
        <v>114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.75" customHeight="1" x14ac:dyDescent="0.3">
      <c r="A3" s="1071" t="s">
        <v>113</v>
      </c>
      <c r="B3" s="1025" t="s">
        <v>114</v>
      </c>
      <c r="C3" s="1034" t="s">
        <v>90</v>
      </c>
      <c r="D3" s="125" t="s">
        <v>234</v>
      </c>
      <c r="E3" s="125">
        <f>SUM(E4:E6)</f>
        <v>1.9949167999999999</v>
      </c>
      <c r="F3" s="1043"/>
      <c r="G3" s="1007" t="s">
        <v>483</v>
      </c>
      <c r="H3" s="1007" t="s">
        <v>75</v>
      </c>
      <c r="I3" s="1016" t="s">
        <v>76</v>
      </c>
      <c r="J3" s="1016">
        <v>151</v>
      </c>
      <c r="K3" s="1136" t="s">
        <v>30</v>
      </c>
    </row>
    <row r="4" spans="1:11" x14ac:dyDescent="0.3">
      <c r="A4" s="1113"/>
      <c r="B4" s="1026"/>
      <c r="C4" s="1035"/>
      <c r="D4" s="72" t="s">
        <v>91</v>
      </c>
      <c r="E4" s="72">
        <f>SUM(E11:E16)</f>
        <v>1.9279999999999999</v>
      </c>
      <c r="F4" s="985"/>
      <c r="G4" s="1008"/>
      <c r="H4" s="1008"/>
      <c r="I4" s="1017"/>
      <c r="J4" s="1017"/>
      <c r="K4" s="1137"/>
    </row>
    <row r="5" spans="1:11" x14ac:dyDescent="0.3">
      <c r="A5" s="1113"/>
      <c r="B5" s="1026"/>
      <c r="C5" s="1035"/>
      <c r="D5" s="319" t="s">
        <v>253</v>
      </c>
      <c r="E5" s="319">
        <f>SUM(E17:E24)</f>
        <v>6.6644300000000004E-2</v>
      </c>
      <c r="F5" s="985"/>
      <c r="G5" s="1008"/>
      <c r="H5" s="1008"/>
      <c r="I5" s="1145"/>
      <c r="J5" s="1145"/>
      <c r="K5" s="1142"/>
    </row>
    <row r="6" spans="1:11" x14ac:dyDescent="0.3">
      <c r="A6" s="1113"/>
      <c r="B6" s="1026"/>
      <c r="C6" s="1035"/>
      <c r="D6" s="335" t="s">
        <v>262</v>
      </c>
      <c r="E6" s="335">
        <f>SUM(E25:E25)</f>
        <v>2.7250000000000001E-4</v>
      </c>
      <c r="F6" s="985"/>
      <c r="G6" s="1008"/>
      <c r="H6" s="1008"/>
      <c r="I6" s="1145"/>
      <c r="J6" s="1145"/>
      <c r="K6" s="1142"/>
    </row>
    <row r="7" spans="1:11" x14ac:dyDescent="0.3">
      <c r="A7" s="1113"/>
      <c r="B7" s="1026"/>
      <c r="C7" s="1035"/>
      <c r="D7" s="123"/>
      <c r="E7" s="123"/>
      <c r="F7" s="985"/>
      <c r="G7" s="1008"/>
      <c r="H7" s="1008"/>
      <c r="I7" s="1145"/>
      <c r="J7" s="1145"/>
      <c r="K7" s="1142"/>
    </row>
    <row r="8" spans="1:11" ht="15" thickBot="1" x14ac:dyDescent="0.35">
      <c r="A8" s="1072"/>
      <c r="B8" s="1027"/>
      <c r="C8" s="1036"/>
      <c r="D8" s="80"/>
      <c r="E8" s="53"/>
      <c r="F8" s="1044"/>
      <c r="G8" s="1009"/>
      <c r="H8" s="1009"/>
      <c r="I8" s="1018"/>
      <c r="J8" s="1018"/>
      <c r="K8" s="1138"/>
    </row>
    <row r="9" spans="1:11" ht="15" thickBot="1" x14ac:dyDescent="0.35">
      <c r="A9"/>
      <c r="C9" s="3"/>
      <c r="E9" s="1"/>
      <c r="F9"/>
    </row>
    <row r="10" spans="1:11" x14ac:dyDescent="0.3">
      <c r="A10" s="1101" t="s">
        <v>113</v>
      </c>
      <c r="B10" s="83" t="s">
        <v>114</v>
      </c>
      <c r="C10" s="44"/>
      <c r="D10" s="141" t="s">
        <v>532</v>
      </c>
      <c r="E10" s="92">
        <f>SUM(E11:E26)</f>
        <v>1.9949167999999995</v>
      </c>
      <c r="F10" s="5"/>
      <c r="G10" s="38"/>
      <c r="H10" s="5"/>
      <c r="I10" s="5"/>
      <c r="J10" s="5"/>
      <c r="K10" s="6"/>
    </row>
    <row r="11" spans="1:11" x14ac:dyDescent="0.3">
      <c r="A11" s="1102"/>
      <c r="B11" s="97" t="s">
        <v>966</v>
      </c>
      <c r="C11" s="69"/>
      <c r="D11" s="1149" t="s">
        <v>91</v>
      </c>
      <c r="E11" s="99">
        <v>1.0409999999999999</v>
      </c>
      <c r="F11" s="3"/>
      <c r="G11" s="3"/>
      <c r="K11" s="8"/>
    </row>
    <row r="12" spans="1:11" x14ac:dyDescent="0.3">
      <c r="A12" s="1102"/>
      <c r="B12" s="97" t="s">
        <v>967</v>
      </c>
      <c r="C12" s="69"/>
      <c r="D12" s="1149"/>
      <c r="E12" s="99">
        <v>0.29699999999999999</v>
      </c>
      <c r="F12" s="3"/>
      <c r="G12" s="3"/>
      <c r="K12" s="8"/>
    </row>
    <row r="13" spans="1:11" x14ac:dyDescent="0.3">
      <c r="A13" s="1102"/>
      <c r="B13" s="97" t="s">
        <v>968</v>
      </c>
      <c r="C13" s="69"/>
      <c r="D13" s="1149"/>
      <c r="E13" s="99">
        <v>0.251</v>
      </c>
      <c r="F13" s="3"/>
      <c r="G13" s="3"/>
      <c r="K13" s="8"/>
    </row>
    <row r="14" spans="1:11" x14ac:dyDescent="0.3">
      <c r="A14" s="1102"/>
      <c r="B14" s="97" t="s">
        <v>969</v>
      </c>
      <c r="C14" s="69"/>
      <c r="D14" s="1149"/>
      <c r="E14" s="99">
        <v>0.13600000000000001</v>
      </c>
      <c r="F14" s="3"/>
      <c r="G14" s="3"/>
      <c r="K14" s="8"/>
    </row>
    <row r="15" spans="1:11" x14ac:dyDescent="0.3">
      <c r="A15" s="1102"/>
      <c r="B15" s="97" t="s">
        <v>970</v>
      </c>
      <c r="C15" s="69"/>
      <c r="D15" s="1149"/>
      <c r="E15" s="99">
        <v>0.17599999999999999</v>
      </c>
      <c r="F15" s="3"/>
      <c r="G15" s="3"/>
      <c r="K15" s="8"/>
    </row>
    <row r="16" spans="1:11" x14ac:dyDescent="0.3">
      <c r="A16" s="1102"/>
      <c r="B16" s="97" t="s">
        <v>971</v>
      </c>
      <c r="C16" s="69"/>
      <c r="D16" s="1149"/>
      <c r="E16" s="99">
        <v>2.7E-2</v>
      </c>
      <c r="F16" s="3"/>
      <c r="G16" s="3"/>
      <c r="K16" s="8"/>
    </row>
    <row r="17" spans="1:11" x14ac:dyDescent="0.3">
      <c r="A17" s="1102"/>
      <c r="B17" s="193" t="s">
        <v>972</v>
      </c>
      <c r="C17" s="3"/>
      <c r="D17" s="1096" t="s">
        <v>253</v>
      </c>
      <c r="E17" s="173">
        <v>1.7000000000000001E-2</v>
      </c>
      <c r="F17" s="3"/>
      <c r="K17" s="8"/>
    </row>
    <row r="18" spans="1:11" x14ac:dyDescent="0.3">
      <c r="A18" s="1102"/>
      <c r="B18" s="193" t="s">
        <v>973</v>
      </c>
      <c r="C18" s="3"/>
      <c r="D18" s="1096"/>
      <c r="E18" s="173">
        <v>5.0000000000000001E-3</v>
      </c>
      <c r="F18" s="3"/>
      <c r="K18" s="8"/>
    </row>
    <row r="19" spans="1:11" x14ac:dyDescent="0.3">
      <c r="A19" s="1102"/>
      <c r="B19" s="193" t="s">
        <v>974</v>
      </c>
      <c r="C19" s="3"/>
      <c r="D19" s="1096"/>
      <c r="E19" s="173">
        <v>3.0000000000000001E-3</v>
      </c>
      <c r="F19" s="3"/>
      <c r="K19" s="8"/>
    </row>
    <row r="20" spans="1:11" x14ac:dyDescent="0.3">
      <c r="A20" s="1102"/>
      <c r="B20" s="193" t="s">
        <v>975</v>
      </c>
      <c r="C20" s="3"/>
      <c r="D20" s="1096"/>
      <c r="E20" s="173">
        <v>8.9999999999999993E-3</v>
      </c>
      <c r="F20" s="3"/>
      <c r="K20" s="8"/>
    </row>
    <row r="21" spans="1:11" x14ac:dyDescent="0.3">
      <c r="A21" s="1102"/>
      <c r="B21" s="193" t="s">
        <v>714</v>
      </c>
      <c r="C21" s="3"/>
      <c r="D21" s="1096"/>
      <c r="E21" s="173">
        <v>8.0749999999999995E-4</v>
      </c>
      <c r="F21" s="3"/>
      <c r="K21" s="8"/>
    </row>
    <row r="22" spans="1:11" x14ac:dyDescent="0.3">
      <c r="A22" s="1102"/>
      <c r="B22" s="193" t="s">
        <v>976</v>
      </c>
      <c r="C22" s="3"/>
      <c r="D22" s="1096"/>
      <c r="E22" s="173">
        <v>8.3679999999999996E-4</v>
      </c>
      <c r="F22" s="3"/>
      <c r="K22" s="8"/>
    </row>
    <row r="23" spans="1:11" x14ac:dyDescent="0.3">
      <c r="A23" s="1102"/>
      <c r="B23" s="193" t="s">
        <v>977</v>
      </c>
      <c r="C23" s="3"/>
      <c r="D23" s="1096"/>
      <c r="E23" s="173">
        <v>1.0999999999999999E-2</v>
      </c>
      <c r="F23" s="3"/>
      <c r="K23" s="8"/>
    </row>
    <row r="24" spans="1:11" x14ac:dyDescent="0.3">
      <c r="A24" s="1102"/>
      <c r="B24" s="193" t="s">
        <v>978</v>
      </c>
      <c r="C24" s="3"/>
      <c r="D24" s="1096"/>
      <c r="E24" s="173">
        <v>0.02</v>
      </c>
      <c r="F24" s="3"/>
      <c r="K24" s="8"/>
    </row>
    <row r="25" spans="1:11" x14ac:dyDescent="0.3">
      <c r="A25" s="1102"/>
      <c r="B25" s="88" t="s">
        <v>979</v>
      </c>
      <c r="C25" s="3"/>
      <c r="D25" s="79" t="s">
        <v>262</v>
      </c>
      <c r="E25" s="79">
        <v>2.7250000000000001E-4</v>
      </c>
      <c r="F25" s="3"/>
      <c r="K25" s="8"/>
    </row>
    <row r="26" spans="1:11" ht="15" thickBot="1" x14ac:dyDescent="0.35">
      <c r="A26" s="1103"/>
      <c r="B26" s="110"/>
      <c r="C26" s="11"/>
      <c r="D26" s="89"/>
      <c r="E26" s="89"/>
      <c r="F26" s="11"/>
      <c r="G26" s="9"/>
      <c r="H26" s="9"/>
      <c r="I26" s="9"/>
      <c r="J26" s="9"/>
      <c r="K26" s="10"/>
    </row>
    <row r="27" spans="1:11" x14ac:dyDescent="0.3">
      <c r="A27"/>
      <c r="C27"/>
      <c r="E27"/>
      <c r="F27"/>
    </row>
    <row r="28" spans="1:11" x14ac:dyDescent="0.3">
      <c r="A28"/>
      <c r="C28"/>
      <c r="E28"/>
      <c r="F28"/>
    </row>
    <row r="29" spans="1:11" x14ac:dyDescent="0.3">
      <c r="A29"/>
      <c r="C29"/>
      <c r="E29"/>
      <c r="F29"/>
    </row>
    <row r="30" spans="1:11" x14ac:dyDescent="0.3">
      <c r="A30"/>
      <c r="C30"/>
      <c r="E30"/>
      <c r="F30"/>
    </row>
    <row r="31" spans="1:11" x14ac:dyDescent="0.3">
      <c r="A31"/>
      <c r="C31"/>
      <c r="E31"/>
      <c r="F31"/>
    </row>
    <row r="32" spans="1:11" x14ac:dyDescent="0.3">
      <c r="A32"/>
      <c r="C32"/>
      <c r="E32"/>
      <c r="F32"/>
    </row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ht="15" customHeigh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ht="15" customHeight="1" x14ac:dyDescent="0.3"/>
    <row r="69" customFormat="1" x14ac:dyDescent="0.3"/>
    <row r="70" customFormat="1" x14ac:dyDescent="0.3"/>
    <row r="71" customFormat="1" x14ac:dyDescent="0.3"/>
    <row r="72" customFormat="1" ht="15" customHeight="1" x14ac:dyDescent="0.3"/>
    <row r="73" customFormat="1" x14ac:dyDescent="0.3"/>
    <row r="74" customFormat="1" x14ac:dyDescent="0.3"/>
    <row r="75" customFormat="1" ht="15" customHeigh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ht="15" customHeight="1" x14ac:dyDescent="0.3"/>
    <row r="111" customFormat="1" x14ac:dyDescent="0.3"/>
    <row r="112" customFormat="1" x14ac:dyDescent="0.3"/>
    <row r="113" customFormat="1" ht="15" customHeigh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ht="15" customHeigh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ht="15" customHeight="1" x14ac:dyDescent="0.3"/>
    <row r="142" customFormat="1" x14ac:dyDescent="0.3"/>
    <row r="143" customFormat="1" x14ac:dyDescent="0.3"/>
    <row r="144" customFormat="1" x14ac:dyDescent="0.3"/>
    <row r="145" spans="1:6" customFormat="1" x14ac:dyDescent="0.3"/>
    <row r="146" spans="1:6" customFormat="1" x14ac:dyDescent="0.3"/>
    <row r="147" spans="1:6" customFormat="1" x14ac:dyDescent="0.3"/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ht="15" customHeight="1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ht="15" customHeight="1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</sheetData>
  <mergeCells count="12">
    <mergeCell ref="H3:H8"/>
    <mergeCell ref="I3:I8"/>
    <mergeCell ref="J3:J8"/>
    <mergeCell ref="K3:K8"/>
    <mergeCell ref="A10:A26"/>
    <mergeCell ref="D17:D24"/>
    <mergeCell ref="D11:D16"/>
    <mergeCell ref="A3:A8"/>
    <mergeCell ref="B3:B8"/>
    <mergeCell ref="C3:C8"/>
    <mergeCell ref="F3:F8"/>
    <mergeCell ref="G3:G8"/>
  </mergeCells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 codeName="Feuil17"/>
  <dimension ref="A1:K223"/>
  <sheetViews>
    <sheetView topLeftCell="C1" zoomScale="70" zoomScaleNormal="70" workbookViewId="0">
      <selection activeCell="E4" sqref="E4:E6"/>
    </sheetView>
  </sheetViews>
  <sheetFormatPr baseColWidth="10" defaultColWidth="11.44140625" defaultRowHeight="14.4" x14ac:dyDescent="0.3"/>
  <cols>
    <col min="1" max="1" width="39.109375" style="29" bestFit="1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33.10937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117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116</v>
      </c>
      <c r="B4" s="1025" t="s">
        <v>117</v>
      </c>
      <c r="C4" s="1034" t="s">
        <v>90</v>
      </c>
      <c r="D4" s="125" t="s">
        <v>234</v>
      </c>
      <c r="E4" s="125">
        <f>SUM(E5:E6)</f>
        <v>0.10200000000000001</v>
      </c>
      <c r="F4" s="1043"/>
      <c r="G4" s="1007" t="s">
        <v>483</v>
      </c>
      <c r="H4" s="1007" t="s">
        <v>93</v>
      </c>
      <c r="I4" s="1016" t="s">
        <v>94</v>
      </c>
      <c r="J4" s="1016">
        <v>240</v>
      </c>
      <c r="K4" s="1136" t="s">
        <v>30</v>
      </c>
    </row>
    <row r="5" spans="1:11" x14ac:dyDescent="0.3">
      <c r="A5" s="1113"/>
      <c r="B5" s="1026"/>
      <c r="C5" s="1035"/>
      <c r="D5" s="72" t="s">
        <v>91</v>
      </c>
      <c r="E5" s="72">
        <f>SUM(E12:E12)</f>
        <v>9.9000000000000005E-2</v>
      </c>
      <c r="F5" s="985"/>
      <c r="G5" s="1008"/>
      <c r="H5" s="1008"/>
      <c r="I5" s="1017"/>
      <c r="J5" s="1017"/>
      <c r="K5" s="1137"/>
    </row>
    <row r="6" spans="1:11" x14ac:dyDescent="0.3">
      <c r="A6" s="1113"/>
      <c r="B6" s="1026"/>
      <c r="C6" s="1035"/>
      <c r="D6" s="319" t="s">
        <v>253</v>
      </c>
      <c r="E6" s="319">
        <f>SUM(E13:E13)</f>
        <v>3.0000000000000001E-3</v>
      </c>
      <c r="F6" s="985"/>
      <c r="G6" s="1008"/>
      <c r="H6" s="1008"/>
      <c r="I6" s="1145"/>
      <c r="J6" s="1145"/>
      <c r="K6" s="1142"/>
    </row>
    <row r="7" spans="1:11" x14ac:dyDescent="0.3">
      <c r="A7" s="1113"/>
      <c r="B7" s="1026"/>
      <c r="C7" s="1035"/>
      <c r="D7" s="123"/>
      <c r="E7" s="123"/>
      <c r="F7" s="985"/>
      <c r="G7" s="1008"/>
      <c r="H7" s="1008"/>
      <c r="I7" s="1145"/>
      <c r="J7" s="1145"/>
      <c r="K7" s="1142"/>
    </row>
    <row r="8" spans="1:11" x14ac:dyDescent="0.3">
      <c r="A8" s="1113"/>
      <c r="B8" s="1026"/>
      <c r="C8" s="1035"/>
      <c r="D8" s="123"/>
      <c r="E8" s="123"/>
      <c r="F8" s="985"/>
      <c r="G8" s="1008"/>
      <c r="H8" s="1008"/>
      <c r="I8" s="1145"/>
      <c r="J8" s="1145"/>
      <c r="K8" s="1142"/>
    </row>
    <row r="9" spans="1:11" ht="15" thickBot="1" x14ac:dyDescent="0.35">
      <c r="A9" s="1072"/>
      <c r="B9" s="1027"/>
      <c r="C9" s="1036"/>
      <c r="D9" s="80"/>
      <c r="E9" s="53"/>
      <c r="F9" s="1044"/>
      <c r="G9" s="1009"/>
      <c r="H9" s="1009"/>
      <c r="I9" s="1018"/>
      <c r="J9" s="1018"/>
      <c r="K9" s="1138"/>
    </row>
    <row r="10" spans="1:11" ht="15" thickBot="1" x14ac:dyDescent="0.35">
      <c r="A10"/>
      <c r="C10" s="3"/>
      <c r="E10" s="1"/>
      <c r="F10"/>
    </row>
    <row r="11" spans="1:11" x14ac:dyDescent="0.3">
      <c r="A11" s="1101" t="s">
        <v>116</v>
      </c>
      <c r="B11" s="83" t="s">
        <v>117</v>
      </c>
      <c r="C11" s="44"/>
      <c r="D11" s="141" t="s">
        <v>532</v>
      </c>
      <c r="E11" s="92">
        <f>SUM(E12:E14)</f>
        <v>0.10200000000000001</v>
      </c>
      <c r="F11" s="5"/>
      <c r="G11" s="38"/>
      <c r="H11" s="5"/>
      <c r="I11" s="5"/>
      <c r="J11" s="5"/>
      <c r="K11" s="6"/>
    </row>
    <row r="12" spans="1:11" x14ac:dyDescent="0.3">
      <c r="A12" s="1102"/>
      <c r="B12" s="97" t="s">
        <v>980</v>
      </c>
      <c r="C12" s="69"/>
      <c r="D12" s="159" t="s">
        <v>91</v>
      </c>
      <c r="E12" s="99">
        <v>9.9000000000000005E-2</v>
      </c>
      <c r="F12" s="3"/>
      <c r="G12" s="3"/>
      <c r="K12" s="8"/>
    </row>
    <row r="13" spans="1:11" x14ac:dyDescent="0.3">
      <c r="A13" s="1102"/>
      <c r="B13" s="193" t="s">
        <v>841</v>
      </c>
      <c r="C13" s="3"/>
      <c r="D13" s="173" t="s">
        <v>253</v>
      </c>
      <c r="E13" s="173">
        <v>3.0000000000000001E-3</v>
      </c>
      <c r="F13" s="3"/>
      <c r="K13" s="8"/>
    </row>
    <row r="14" spans="1:11" ht="15" thickBot="1" x14ac:dyDescent="0.35">
      <c r="A14" s="1103"/>
      <c r="B14" s="110"/>
      <c r="C14" s="11"/>
      <c r="D14" s="89"/>
      <c r="E14" s="89"/>
      <c r="F14" s="11"/>
      <c r="G14" s="9"/>
      <c r="H14" s="9"/>
      <c r="I14" s="9"/>
      <c r="J14" s="9"/>
      <c r="K14" s="10"/>
    </row>
    <row r="15" spans="1:11" x14ac:dyDescent="0.3">
      <c r="A15"/>
      <c r="C15"/>
      <c r="E15"/>
      <c r="F15"/>
    </row>
    <row r="16" spans="1:11" x14ac:dyDescent="0.3">
      <c r="A16"/>
      <c r="C16"/>
      <c r="E16"/>
      <c r="F16"/>
    </row>
    <row r="17" customFormat="1" x14ac:dyDescent="0.3"/>
    <row r="18" customFormat="1" x14ac:dyDescent="0.3"/>
    <row r="19" customFormat="1" x14ac:dyDescent="0.3"/>
    <row r="20" customFormat="1" x14ac:dyDescent="0.3"/>
    <row r="21" customFormat="1" x14ac:dyDescent="0.3"/>
    <row r="22" customFormat="1" x14ac:dyDescent="0.3"/>
    <row r="23" customFormat="1" x14ac:dyDescent="0.3"/>
    <row r="24" customFormat="1" x14ac:dyDescent="0.3"/>
    <row r="25" customFormat="1" x14ac:dyDescent="0.3"/>
    <row r="26" customFormat="1" x14ac:dyDescent="0.3"/>
    <row r="27" customFormat="1" x14ac:dyDescent="0.3"/>
    <row r="28" customFormat="1" ht="15" customHeight="1" x14ac:dyDescent="0.3"/>
    <row r="29" customFormat="1" x14ac:dyDescent="0.3"/>
    <row r="30" customFormat="1" x14ac:dyDescent="0.3"/>
    <row r="31" customFormat="1" x14ac:dyDescent="0.3"/>
    <row r="32" customFormat="1" x14ac:dyDescent="0.3"/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ht="15" customHeight="1" x14ac:dyDescent="0.3"/>
    <row r="57" customFormat="1" x14ac:dyDescent="0.3"/>
    <row r="58" customFormat="1" x14ac:dyDescent="0.3"/>
    <row r="59" customFormat="1" x14ac:dyDescent="0.3"/>
    <row r="60" customFormat="1" ht="15" customHeight="1" x14ac:dyDescent="0.3"/>
    <row r="61" customFormat="1" x14ac:dyDescent="0.3"/>
    <row r="62" customFormat="1" x14ac:dyDescent="0.3"/>
    <row r="63" customFormat="1" ht="15" customHeigh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ht="15" customHeight="1" x14ac:dyDescent="0.3"/>
    <row r="99" customFormat="1" x14ac:dyDescent="0.3"/>
    <row r="100" customFormat="1" x14ac:dyDescent="0.3"/>
    <row r="101" customFormat="1" ht="15" customHeigh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ht="15" customHeigh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spans="1:6" customFormat="1" ht="15" customHeigh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x14ac:dyDescent="0.3"/>
    <row r="134" spans="1:6" customFormat="1" x14ac:dyDescent="0.3"/>
    <row r="135" spans="1:6" customFormat="1" x14ac:dyDescent="0.3"/>
    <row r="136" spans="1:6" x14ac:dyDescent="0.3">
      <c r="A136"/>
      <c r="C136" s="3"/>
      <c r="E136" s="1"/>
      <c r="F136"/>
    </row>
    <row r="137" spans="1:6" x14ac:dyDescent="0.3">
      <c r="A137"/>
      <c r="C137" s="3"/>
      <c r="E137" s="1"/>
      <c r="F137"/>
    </row>
    <row r="138" spans="1:6" x14ac:dyDescent="0.3">
      <c r="A138"/>
      <c r="C138" s="3"/>
      <c r="E138" s="1"/>
      <c r="F138"/>
    </row>
    <row r="139" spans="1:6" x14ac:dyDescent="0.3">
      <c r="A139"/>
      <c r="C139" s="3"/>
      <c r="E139" s="1"/>
      <c r="F139"/>
    </row>
    <row r="140" spans="1:6" x14ac:dyDescent="0.3">
      <c r="A140"/>
      <c r="C140" s="3"/>
      <c r="E140" s="1"/>
      <c r="F140"/>
    </row>
    <row r="141" spans="1:6" x14ac:dyDescent="0.3">
      <c r="A141"/>
      <c r="C141" s="3"/>
      <c r="E141" s="1"/>
      <c r="F141"/>
    </row>
    <row r="142" spans="1:6" x14ac:dyDescent="0.3">
      <c r="A142"/>
      <c r="C142" s="3"/>
      <c r="E142" s="1"/>
      <c r="F142"/>
    </row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ht="15" customHeight="1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ht="15" customHeight="1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</sheetData>
  <mergeCells count="10">
    <mergeCell ref="H4:H9"/>
    <mergeCell ref="I4:I9"/>
    <mergeCell ref="J4:J9"/>
    <mergeCell ref="K4:K9"/>
    <mergeCell ref="A11:A14"/>
    <mergeCell ref="A4:A9"/>
    <mergeCell ref="B4:B9"/>
    <mergeCell ref="C4:C9"/>
    <mergeCell ref="F4:F9"/>
    <mergeCell ref="G4:G9"/>
  </mergeCells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 codeName="Feuil18"/>
  <dimension ref="A1:O269"/>
  <sheetViews>
    <sheetView topLeftCell="E1" zoomScale="70" zoomScaleNormal="70" workbookViewId="0">
      <selection activeCell="E3" sqref="E3:J12"/>
    </sheetView>
  </sheetViews>
  <sheetFormatPr baseColWidth="10" defaultColWidth="11.44140625" defaultRowHeight="14.4" x14ac:dyDescent="0.3"/>
  <cols>
    <col min="1" max="1" width="39.109375" style="29" bestFit="1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26" style="1" bestFit="1" customWidth="1"/>
    <col min="7" max="7" width="21.6640625" bestFit="1" customWidth="1"/>
    <col min="8" max="8" width="16.88671875" bestFit="1" customWidth="1"/>
    <col min="9" max="9" width="12" bestFit="1" customWidth="1"/>
    <col min="10" max="10" width="30.109375" bestFit="1" customWidth="1"/>
    <col min="11" max="11" width="36" bestFit="1" customWidth="1"/>
    <col min="12" max="12" width="20.109375" bestFit="1" customWidth="1"/>
    <col min="13" max="13" width="35.33203125" bestFit="1" customWidth="1"/>
    <col min="14" max="14" width="45.109375" bestFit="1" customWidth="1"/>
    <col min="15" max="15" width="16" customWidth="1"/>
  </cols>
  <sheetData>
    <row r="1" spans="1:15" ht="15" thickBot="1" x14ac:dyDescent="0.35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720" t="s">
        <v>529</v>
      </c>
      <c r="G1" s="1143" t="s">
        <v>530</v>
      </c>
      <c r="H1" s="1091"/>
      <c r="I1" s="1091"/>
      <c r="J1" s="1144"/>
      <c r="K1" s="30" t="s">
        <v>11</v>
      </c>
      <c r="L1" s="30" t="s">
        <v>12</v>
      </c>
      <c r="M1" s="30" t="s">
        <v>13</v>
      </c>
      <c r="N1" s="30" t="s">
        <v>16</v>
      </c>
      <c r="O1" s="30" t="s">
        <v>17</v>
      </c>
    </row>
    <row r="2" spans="1:15" ht="15" customHeight="1" thickBot="1" x14ac:dyDescent="0.35">
      <c r="B2" s="755" t="s">
        <v>119</v>
      </c>
      <c r="F2" s="720" t="s">
        <v>402</v>
      </c>
      <c r="G2" s="747" t="s">
        <v>530</v>
      </c>
      <c r="H2" s="636" t="s">
        <v>404</v>
      </c>
      <c r="I2" s="747" t="s">
        <v>406</v>
      </c>
      <c r="J2" s="742" t="s">
        <v>407</v>
      </c>
    </row>
    <row r="3" spans="1:15" ht="15.75" customHeight="1" thickBot="1" x14ac:dyDescent="0.35">
      <c r="A3" s="1071" t="s">
        <v>118</v>
      </c>
      <c r="B3" s="1025" t="s">
        <v>119</v>
      </c>
      <c r="C3" s="1034" t="s">
        <v>493</v>
      </c>
      <c r="D3" s="125" t="s">
        <v>234</v>
      </c>
      <c r="E3" s="125">
        <f>SUM(E4:E12)</f>
        <v>1.6545789000000002</v>
      </c>
      <c r="F3" s="702">
        <f>SUM(F4)</f>
        <v>0.77699999999999991</v>
      </c>
      <c r="G3" s="702"/>
      <c r="H3" s="702">
        <f>SUM(H4)</f>
        <v>0.84699999999999998</v>
      </c>
      <c r="I3" s="702">
        <f>SUM(I4)</f>
        <v>0.01</v>
      </c>
      <c r="J3" s="706"/>
      <c r="K3" s="1007" t="s">
        <v>493</v>
      </c>
      <c r="L3" s="1007" t="s">
        <v>66</v>
      </c>
      <c r="M3" s="1157" t="s">
        <v>67</v>
      </c>
      <c r="N3" s="1016">
        <v>295</v>
      </c>
      <c r="O3" s="1136" t="s">
        <v>30</v>
      </c>
    </row>
    <row r="4" spans="1:15" ht="15.75" customHeight="1" x14ac:dyDescent="0.3">
      <c r="A4" s="1113"/>
      <c r="B4" s="1026"/>
      <c r="C4" s="1035"/>
      <c r="D4" s="282" t="s">
        <v>47</v>
      </c>
      <c r="E4" s="282">
        <f>SUM(E16:E21)</f>
        <v>0.10338050000000001</v>
      </c>
      <c r="F4" s="162">
        <f>SUM(F18)</f>
        <v>0.77699999999999991</v>
      </c>
      <c r="G4" s="162"/>
      <c r="H4" s="162">
        <f>SUM(H18)</f>
        <v>0.84699999999999998</v>
      </c>
      <c r="I4" s="162">
        <f>SUM(I18)</f>
        <v>0.01</v>
      </c>
      <c r="J4" s="165" t="s">
        <v>51</v>
      </c>
      <c r="K4" s="1008"/>
      <c r="L4" s="1008"/>
      <c r="M4" s="1158"/>
      <c r="N4" s="1162"/>
      <c r="O4" s="1163"/>
    </row>
    <row r="5" spans="1:15" x14ac:dyDescent="0.3">
      <c r="A5" s="1113"/>
      <c r="B5" s="1026"/>
      <c r="C5" s="1035"/>
      <c r="D5" s="72" t="s">
        <v>91</v>
      </c>
      <c r="E5" s="277">
        <f>SUM(E22:E26)</f>
        <v>0.216</v>
      </c>
      <c r="F5" s="694"/>
      <c r="G5" s="662"/>
      <c r="H5" s="662"/>
      <c r="I5" s="662"/>
      <c r="J5" s="8"/>
      <c r="K5" s="1008"/>
      <c r="L5" s="1008"/>
      <c r="M5" s="1159"/>
      <c r="N5" s="1017"/>
      <c r="O5" s="1137"/>
    </row>
    <row r="6" spans="1:15" x14ac:dyDescent="0.3">
      <c r="A6" s="1113"/>
      <c r="B6" s="1026"/>
      <c r="C6" s="1035"/>
      <c r="D6" s="319" t="s">
        <v>253</v>
      </c>
      <c r="E6" s="319">
        <f>SUM(E27:E36)</f>
        <v>1.5198400000000001E-2</v>
      </c>
      <c r="F6" s="694"/>
      <c r="G6" s="662"/>
      <c r="H6" s="662"/>
      <c r="I6" s="662"/>
      <c r="J6" s="8"/>
      <c r="K6" s="1008"/>
      <c r="L6" s="1008"/>
      <c r="M6" s="1160"/>
      <c r="N6" s="1145"/>
      <c r="O6" s="1142"/>
    </row>
    <row r="7" spans="1:15" x14ac:dyDescent="0.3">
      <c r="A7" s="1113"/>
      <c r="B7" s="1026"/>
      <c r="C7" s="1035"/>
      <c r="D7" s="186" t="s">
        <v>259</v>
      </c>
      <c r="E7" s="186">
        <f>SUM(E37:E39)</f>
        <v>2.2000000000000002E-2</v>
      </c>
      <c r="F7" s="694"/>
      <c r="G7" s="662"/>
      <c r="H7" s="662"/>
      <c r="I7" s="662"/>
      <c r="J7" s="8"/>
      <c r="K7" s="1008"/>
      <c r="L7" s="1008"/>
      <c r="M7" s="1160"/>
      <c r="N7" s="1145"/>
      <c r="O7" s="1142"/>
    </row>
    <row r="8" spans="1:15" x14ac:dyDescent="0.3">
      <c r="A8" s="1113"/>
      <c r="B8" s="1026"/>
      <c r="C8" s="1035"/>
      <c r="D8" s="353" t="s">
        <v>335</v>
      </c>
      <c r="E8" s="353">
        <f>SUM(E40:E42)</f>
        <v>1.161</v>
      </c>
      <c r="F8" s="694"/>
      <c r="G8" s="662"/>
      <c r="H8" s="662"/>
      <c r="I8" s="662"/>
      <c r="J8" s="8"/>
      <c r="K8" s="1008"/>
      <c r="L8" s="1008"/>
      <c r="M8" s="1160"/>
      <c r="N8" s="1145"/>
      <c r="O8" s="1142"/>
    </row>
    <row r="9" spans="1:15" x14ac:dyDescent="0.3">
      <c r="A9" s="1113"/>
      <c r="B9" s="1026"/>
      <c r="C9" s="1035"/>
      <c r="D9" s="335" t="s">
        <v>262</v>
      </c>
      <c r="E9" s="335">
        <f>SUM(E43)</f>
        <v>3.0000000000000001E-3</v>
      </c>
      <c r="F9" s="694"/>
      <c r="G9" s="662"/>
      <c r="H9" s="662"/>
      <c r="I9" s="662"/>
      <c r="J9" s="8"/>
      <c r="K9" s="1008"/>
      <c r="L9" s="1008"/>
      <c r="M9" s="1160"/>
      <c r="N9" s="1145"/>
      <c r="O9" s="1142"/>
    </row>
    <row r="10" spans="1:15" x14ac:dyDescent="0.3">
      <c r="A10" s="1113"/>
      <c r="B10" s="1026"/>
      <c r="C10" s="1035"/>
      <c r="D10" s="329" t="s">
        <v>240</v>
      </c>
      <c r="E10" s="329">
        <f>SUM(E44)</f>
        <v>6.0000000000000001E-3</v>
      </c>
      <c r="F10" s="694"/>
      <c r="G10" s="662"/>
      <c r="H10" s="662"/>
      <c r="I10" s="662"/>
      <c r="J10" s="8"/>
      <c r="K10" s="1008"/>
      <c r="L10" s="1008"/>
      <c r="M10" s="1160"/>
      <c r="N10" s="1145"/>
      <c r="O10" s="1142"/>
    </row>
    <row r="11" spans="1:15" x14ac:dyDescent="0.3">
      <c r="A11" s="1113"/>
      <c r="B11" s="1026"/>
      <c r="C11" s="1035"/>
      <c r="D11" s="438" t="s">
        <v>249</v>
      </c>
      <c r="E11" s="438">
        <f>SUM(E45)</f>
        <v>1.6E-2</v>
      </c>
      <c r="F11" s="694"/>
      <c r="G11" s="662"/>
      <c r="H11" s="662"/>
      <c r="I11" s="662"/>
      <c r="J11" s="8"/>
      <c r="K11" s="1008"/>
      <c r="L11" s="1008"/>
      <c r="M11" s="1160"/>
      <c r="N11" s="1145"/>
      <c r="O11" s="1142"/>
    </row>
    <row r="12" spans="1:15" x14ac:dyDescent="0.3">
      <c r="A12" s="1113"/>
      <c r="B12" s="1026"/>
      <c r="C12" s="1035"/>
      <c r="D12" s="122" t="s">
        <v>254</v>
      </c>
      <c r="E12" s="122">
        <f>SUM(E46)</f>
        <v>0.112</v>
      </c>
      <c r="F12" s="694"/>
      <c r="G12" s="662"/>
      <c r="H12" s="662"/>
      <c r="I12" s="662"/>
      <c r="J12" s="8"/>
      <c r="K12" s="1008"/>
      <c r="L12" s="1008"/>
      <c r="M12" s="1160"/>
      <c r="N12" s="1145"/>
      <c r="O12" s="1142"/>
    </row>
    <row r="13" spans="1:15" ht="15" thickBot="1" x14ac:dyDescent="0.35">
      <c r="A13" s="1072"/>
      <c r="B13" s="1027"/>
      <c r="C13" s="1036"/>
      <c r="D13" s="80"/>
      <c r="E13" s="53"/>
      <c r="F13" s="695"/>
      <c r="G13" s="91"/>
      <c r="H13" s="91"/>
      <c r="I13" s="91"/>
      <c r="J13" s="10"/>
      <c r="K13" s="1009"/>
      <c r="L13" s="1009"/>
      <c r="M13" s="1161"/>
      <c r="N13" s="1018"/>
      <c r="O13" s="1138"/>
    </row>
    <row r="14" spans="1:15" ht="15" thickBot="1" x14ac:dyDescent="0.35">
      <c r="A14"/>
      <c r="C14" s="3"/>
      <c r="E14" s="1"/>
    </row>
    <row r="15" spans="1:15" ht="15" thickBot="1" x14ac:dyDescent="0.35">
      <c r="A15" s="1101" t="s">
        <v>118</v>
      </c>
      <c r="B15" s="83" t="s">
        <v>119</v>
      </c>
      <c r="C15" s="44"/>
      <c r="D15" s="90" t="s">
        <v>532</v>
      </c>
      <c r="E15" s="92">
        <f>SUM(E16:E46)</f>
        <v>1.6545789000000002</v>
      </c>
      <c r="F15" s="735" t="s">
        <v>402</v>
      </c>
      <c r="G15" s="735" t="s">
        <v>530</v>
      </c>
      <c r="H15" s="735" t="s">
        <v>404</v>
      </c>
      <c r="I15" s="735" t="s">
        <v>406</v>
      </c>
      <c r="J15" s="735" t="s">
        <v>407</v>
      </c>
      <c r="K15" s="38"/>
      <c r="L15" s="5"/>
      <c r="M15" s="5"/>
      <c r="N15" s="5"/>
      <c r="O15" s="6"/>
    </row>
    <row r="16" spans="1:15" x14ac:dyDescent="0.3">
      <c r="A16" s="1102"/>
      <c r="B16" s="126" t="s">
        <v>981</v>
      </c>
      <c r="C16" s="69"/>
      <c r="D16" s="1093" t="s">
        <v>47</v>
      </c>
      <c r="E16" s="166">
        <v>1.2E-2</v>
      </c>
      <c r="F16"/>
      <c r="K16" s="3"/>
      <c r="O16" s="8"/>
    </row>
    <row r="17" spans="1:15" ht="15" thickBot="1" x14ac:dyDescent="0.35">
      <c r="A17" s="1102"/>
      <c r="B17" s="126" t="s">
        <v>981</v>
      </c>
      <c r="C17" s="69"/>
      <c r="D17" s="1093"/>
      <c r="E17" s="166">
        <v>1.2E-2</v>
      </c>
      <c r="F17"/>
      <c r="K17" s="3"/>
      <c r="O17" s="8"/>
    </row>
    <row r="18" spans="1:15" ht="15" thickBot="1" x14ac:dyDescent="0.35">
      <c r="A18" s="1102"/>
      <c r="B18" s="126" t="s">
        <v>982</v>
      </c>
      <c r="C18" s="69"/>
      <c r="D18" s="1093"/>
      <c r="E18" s="166">
        <v>7.0000000000000007E-2</v>
      </c>
      <c r="F18" s="727">
        <f>SUM(H18-E18)</f>
        <v>0.77699999999999991</v>
      </c>
      <c r="G18" s="727" t="s">
        <v>903</v>
      </c>
      <c r="H18" s="727">
        <v>0.84699999999999998</v>
      </c>
      <c r="I18" s="727">
        <v>0.01</v>
      </c>
      <c r="J18" s="727" t="s">
        <v>51</v>
      </c>
      <c r="K18" s="3"/>
      <c r="O18" s="8"/>
    </row>
    <row r="19" spans="1:15" x14ac:dyDescent="0.3">
      <c r="A19" s="1102"/>
      <c r="B19" s="126" t="s">
        <v>983</v>
      </c>
      <c r="C19" s="69"/>
      <c r="D19" s="1093"/>
      <c r="E19" s="166">
        <v>1E-3</v>
      </c>
      <c r="F19"/>
      <c r="K19" s="3"/>
      <c r="O19" s="8"/>
    </row>
    <row r="20" spans="1:15" x14ac:dyDescent="0.3">
      <c r="A20" s="1102"/>
      <c r="B20" s="126" t="s">
        <v>984</v>
      </c>
      <c r="C20" s="69"/>
      <c r="D20" s="1093"/>
      <c r="E20" s="127">
        <v>3.8049999999999998E-4</v>
      </c>
      <c r="F20"/>
      <c r="K20" s="3"/>
      <c r="O20" s="8"/>
    </row>
    <row r="21" spans="1:15" x14ac:dyDescent="0.3">
      <c r="A21" s="1102"/>
      <c r="B21" s="126" t="s">
        <v>985</v>
      </c>
      <c r="C21" s="69"/>
      <c r="D21" s="1093"/>
      <c r="E21" s="166">
        <v>8.0000000000000002E-3</v>
      </c>
      <c r="F21"/>
      <c r="K21" s="3"/>
      <c r="O21" s="8"/>
    </row>
    <row r="22" spans="1:15" x14ac:dyDescent="0.3">
      <c r="A22" s="1102"/>
      <c r="B22" s="97" t="s">
        <v>986</v>
      </c>
      <c r="C22" s="69"/>
      <c r="D22" s="1149" t="s">
        <v>91</v>
      </c>
      <c r="E22" s="99">
        <v>0.123</v>
      </c>
      <c r="F22"/>
      <c r="K22" s="3"/>
      <c r="O22" s="8"/>
    </row>
    <row r="23" spans="1:15" x14ac:dyDescent="0.3">
      <c r="A23" s="1102"/>
      <c r="B23" s="97" t="s">
        <v>987</v>
      </c>
      <c r="C23" s="69"/>
      <c r="D23" s="1149"/>
      <c r="E23" s="190">
        <v>3.2000000000000001E-2</v>
      </c>
      <c r="F23"/>
      <c r="K23" s="3"/>
      <c r="O23" s="8"/>
    </row>
    <row r="24" spans="1:15" x14ac:dyDescent="0.3">
      <c r="A24" s="1102"/>
      <c r="B24" s="97" t="s">
        <v>988</v>
      </c>
      <c r="C24" s="69"/>
      <c r="D24" s="1149"/>
      <c r="E24" s="190">
        <v>2.7E-2</v>
      </c>
      <c r="F24"/>
      <c r="K24" s="3"/>
      <c r="O24" s="8"/>
    </row>
    <row r="25" spans="1:15" x14ac:dyDescent="0.3">
      <c r="A25" s="1102"/>
      <c r="B25" s="97" t="s">
        <v>989</v>
      </c>
      <c r="C25" s="69"/>
      <c r="D25" s="1149"/>
      <c r="E25" s="190">
        <v>0.02</v>
      </c>
      <c r="F25"/>
      <c r="K25" s="3"/>
      <c r="O25" s="8"/>
    </row>
    <row r="26" spans="1:15" x14ac:dyDescent="0.3">
      <c r="A26" s="1102"/>
      <c r="B26" s="97" t="s">
        <v>990</v>
      </c>
      <c r="C26" s="69"/>
      <c r="D26" s="1149"/>
      <c r="E26" s="99">
        <v>1.4E-2</v>
      </c>
      <c r="F26"/>
      <c r="K26" s="3"/>
      <c r="O26" s="8"/>
    </row>
    <row r="27" spans="1:15" x14ac:dyDescent="0.3">
      <c r="A27" s="1102"/>
      <c r="B27" s="175" t="s">
        <v>991</v>
      </c>
      <c r="C27" s="69"/>
      <c r="D27" s="1096" t="s">
        <v>253</v>
      </c>
      <c r="E27" s="440">
        <v>3.548E-4</v>
      </c>
      <c r="F27"/>
      <c r="K27" s="3"/>
      <c r="O27" s="8"/>
    </row>
    <row r="28" spans="1:15" x14ac:dyDescent="0.3">
      <c r="A28" s="1102"/>
      <c r="B28" s="175" t="s">
        <v>992</v>
      </c>
      <c r="C28" s="69"/>
      <c r="D28" s="1096"/>
      <c r="E28" s="440">
        <v>1.5430000000000001E-4</v>
      </c>
      <c r="F28"/>
      <c r="K28" s="3"/>
      <c r="O28" s="8"/>
    </row>
    <row r="29" spans="1:15" x14ac:dyDescent="0.3">
      <c r="A29" s="1102"/>
      <c r="B29" s="175" t="s">
        <v>993</v>
      </c>
      <c r="C29" s="69"/>
      <c r="D29" s="1096"/>
      <c r="E29" s="440">
        <v>1.7640000000000001E-4</v>
      </c>
      <c r="F29"/>
      <c r="K29" s="3"/>
      <c r="O29" s="8"/>
    </row>
    <row r="30" spans="1:15" x14ac:dyDescent="0.3">
      <c r="A30" s="1102"/>
      <c r="B30" s="175" t="s">
        <v>643</v>
      </c>
      <c r="C30" s="69"/>
      <c r="D30" s="1096"/>
      <c r="E30" s="440">
        <v>2E-3</v>
      </c>
      <c r="F30"/>
      <c r="K30" s="3"/>
      <c r="O30" s="8"/>
    </row>
    <row r="31" spans="1:15" x14ac:dyDescent="0.3">
      <c r="A31" s="1102"/>
      <c r="B31" s="175" t="s">
        <v>994</v>
      </c>
      <c r="C31" s="69"/>
      <c r="D31" s="1096"/>
      <c r="E31" s="440">
        <v>5.0000000000000001E-3</v>
      </c>
      <c r="F31"/>
      <c r="K31" s="3"/>
      <c r="O31" s="8"/>
    </row>
    <row r="32" spans="1:15" x14ac:dyDescent="0.3">
      <c r="A32" s="1102"/>
      <c r="B32" s="175" t="s">
        <v>757</v>
      </c>
      <c r="C32" s="3"/>
      <c r="D32" s="1096"/>
      <c r="E32" s="415">
        <v>5.1290000000000005E-4</v>
      </c>
      <c r="F32"/>
      <c r="O32" s="8"/>
    </row>
    <row r="33" spans="1:15" x14ac:dyDescent="0.3">
      <c r="A33" s="1102"/>
      <c r="B33" s="175" t="s">
        <v>995</v>
      </c>
      <c r="C33" s="3"/>
      <c r="D33" s="1096"/>
      <c r="E33" s="415">
        <v>2E-3</v>
      </c>
      <c r="F33"/>
      <c r="O33" s="8"/>
    </row>
    <row r="34" spans="1:15" x14ac:dyDescent="0.3">
      <c r="A34" s="1102"/>
      <c r="B34" s="175" t="s">
        <v>996</v>
      </c>
      <c r="C34" s="3"/>
      <c r="D34" s="1096"/>
      <c r="E34" s="173">
        <v>2E-3</v>
      </c>
      <c r="F34"/>
      <c r="O34" s="8"/>
    </row>
    <row r="35" spans="1:15" x14ac:dyDescent="0.3">
      <c r="A35" s="1102"/>
      <c r="B35" s="175" t="s">
        <v>997</v>
      </c>
      <c r="C35" s="3"/>
      <c r="D35" s="1096"/>
      <c r="E35" s="415">
        <v>2E-3</v>
      </c>
      <c r="F35"/>
      <c r="O35" s="8"/>
    </row>
    <row r="36" spans="1:15" x14ac:dyDescent="0.3">
      <c r="A36" s="1102"/>
      <c r="B36" s="175" t="s">
        <v>998</v>
      </c>
      <c r="C36" s="3"/>
      <c r="D36" s="1096"/>
      <c r="E36" s="173">
        <v>1E-3</v>
      </c>
      <c r="F36"/>
      <c r="O36" s="8"/>
    </row>
    <row r="37" spans="1:15" x14ac:dyDescent="0.3">
      <c r="A37" s="1102"/>
      <c r="B37" s="184" t="s">
        <v>999</v>
      </c>
      <c r="C37" s="3"/>
      <c r="D37" s="1097" t="s">
        <v>259</v>
      </c>
      <c r="E37" s="185">
        <v>4.0000000000000001E-3</v>
      </c>
      <c r="F37"/>
      <c r="O37" s="8"/>
    </row>
    <row r="38" spans="1:15" x14ac:dyDescent="0.3">
      <c r="A38" s="1102"/>
      <c r="B38" s="184" t="s">
        <v>1000</v>
      </c>
      <c r="C38" s="3"/>
      <c r="D38" s="1097"/>
      <c r="E38" s="185">
        <v>1.2999999999999999E-2</v>
      </c>
      <c r="F38"/>
      <c r="O38" s="8"/>
    </row>
    <row r="39" spans="1:15" x14ac:dyDescent="0.3">
      <c r="A39" s="1102"/>
      <c r="B39" s="184" t="s">
        <v>1001</v>
      </c>
      <c r="C39" s="3"/>
      <c r="D39" s="1097"/>
      <c r="E39" s="185">
        <v>5.0000000000000001E-3</v>
      </c>
      <c r="F39"/>
      <c r="O39" s="8"/>
    </row>
    <row r="40" spans="1:15" x14ac:dyDescent="0.3">
      <c r="A40" s="1102"/>
      <c r="B40" s="352" t="s">
        <v>1002</v>
      </c>
      <c r="C40" s="3"/>
      <c r="D40" s="1171" t="s">
        <v>335</v>
      </c>
      <c r="E40" s="351">
        <v>0.59699999999999998</v>
      </c>
      <c r="F40"/>
      <c r="O40" s="8"/>
    </row>
    <row r="41" spans="1:15" x14ac:dyDescent="0.3">
      <c r="A41" s="1102"/>
      <c r="B41" s="352" t="s">
        <v>1003</v>
      </c>
      <c r="C41" s="3"/>
      <c r="D41" s="1171"/>
      <c r="E41" s="351">
        <v>0.17799999999999999</v>
      </c>
      <c r="F41"/>
      <c r="O41" s="8"/>
    </row>
    <row r="42" spans="1:15" x14ac:dyDescent="0.3">
      <c r="A42" s="1102"/>
      <c r="B42" s="352" t="s">
        <v>1004</v>
      </c>
      <c r="C42" s="3"/>
      <c r="D42" s="1171"/>
      <c r="E42" s="351">
        <v>0.38600000000000001</v>
      </c>
      <c r="F42"/>
      <c r="O42" s="8"/>
    </row>
    <row r="43" spans="1:15" x14ac:dyDescent="0.3">
      <c r="A43" s="1102"/>
      <c r="B43" s="88" t="s">
        <v>1005</v>
      </c>
      <c r="C43" s="3"/>
      <c r="D43" s="79" t="s">
        <v>262</v>
      </c>
      <c r="E43" s="79">
        <v>3.0000000000000001E-3</v>
      </c>
      <c r="F43"/>
      <c r="O43" s="8"/>
    </row>
    <row r="44" spans="1:15" x14ac:dyDescent="0.3">
      <c r="A44" s="1102"/>
      <c r="B44" s="164" t="s">
        <v>1006</v>
      </c>
      <c r="C44" s="3"/>
      <c r="D44" s="65" t="s">
        <v>240</v>
      </c>
      <c r="E44" s="65">
        <v>6.0000000000000001E-3</v>
      </c>
      <c r="F44"/>
      <c r="O44" s="8"/>
    </row>
    <row r="45" spans="1:15" x14ac:dyDescent="0.3">
      <c r="A45" s="1102"/>
      <c r="B45" s="414" t="s">
        <v>1007</v>
      </c>
      <c r="C45" s="3"/>
      <c r="D45" s="400" t="s">
        <v>249</v>
      </c>
      <c r="E45" s="400">
        <v>1.6E-2</v>
      </c>
      <c r="F45"/>
      <c r="O45" s="8"/>
    </row>
    <row r="46" spans="1:15" x14ac:dyDescent="0.3">
      <c r="A46" s="1102"/>
      <c r="B46" s="86" t="s">
        <v>1008</v>
      </c>
      <c r="C46" s="3"/>
      <c r="D46" s="106" t="s">
        <v>254</v>
      </c>
      <c r="E46" s="106">
        <v>0.112</v>
      </c>
      <c r="F46"/>
      <c r="O46" s="8"/>
    </row>
    <row r="47" spans="1:15" x14ac:dyDescent="0.3">
      <c r="A47" s="1102"/>
      <c r="B47" s="112"/>
      <c r="C47" s="3"/>
      <c r="D47" s="119"/>
      <c r="E47" s="119"/>
      <c r="F47"/>
      <c r="O47" s="8"/>
    </row>
    <row r="48" spans="1:15" x14ac:dyDescent="0.3">
      <c r="A48" s="1102"/>
      <c r="B48" s="112"/>
      <c r="C48" s="3"/>
      <c r="D48" s="119"/>
      <c r="E48" s="119"/>
      <c r="F48"/>
      <c r="O48" s="8"/>
    </row>
    <row r="49" spans="1:15" x14ac:dyDescent="0.3">
      <c r="A49" s="1102"/>
      <c r="B49" s="112"/>
      <c r="C49" s="3"/>
      <c r="D49" s="119"/>
      <c r="E49" s="119"/>
      <c r="F49"/>
      <c r="O49" s="8"/>
    </row>
    <row r="50" spans="1:15" x14ac:dyDescent="0.3">
      <c r="A50" s="1102"/>
      <c r="B50" s="112"/>
      <c r="C50" s="3"/>
      <c r="D50" s="119"/>
      <c r="E50" s="119"/>
      <c r="F50"/>
      <c r="O50" s="8"/>
    </row>
    <row r="51" spans="1:15" x14ac:dyDescent="0.3">
      <c r="A51" s="1102"/>
      <c r="B51" s="112"/>
      <c r="C51" s="3"/>
      <c r="D51" s="119"/>
      <c r="E51" s="119"/>
      <c r="F51"/>
      <c r="O51" s="8"/>
    </row>
    <row r="52" spans="1:15" ht="15" thickBot="1" x14ac:dyDescent="0.35">
      <c r="A52" s="1103"/>
      <c r="B52" s="89"/>
      <c r="C52" s="9"/>
      <c r="D52" s="91"/>
      <c r="E52" s="91"/>
      <c r="F52" s="9"/>
      <c r="G52" s="9"/>
      <c r="H52" s="9"/>
      <c r="I52" s="9"/>
      <c r="J52" s="9"/>
      <c r="K52" s="9"/>
      <c r="L52" s="9"/>
      <c r="M52" s="9"/>
      <c r="N52" s="9"/>
      <c r="O52" s="10"/>
    </row>
    <row r="53" spans="1:15" x14ac:dyDescent="0.3">
      <c r="A53"/>
      <c r="C53"/>
      <c r="E53"/>
      <c r="F53"/>
    </row>
    <row r="54" spans="1:15" x14ac:dyDescent="0.3">
      <c r="A54"/>
      <c r="C54"/>
      <c r="E54"/>
      <c r="F54"/>
    </row>
    <row r="55" spans="1:15" x14ac:dyDescent="0.3">
      <c r="A55"/>
      <c r="C55"/>
      <c r="E55"/>
      <c r="F55"/>
    </row>
    <row r="56" spans="1:15" x14ac:dyDescent="0.3">
      <c r="A56"/>
      <c r="C56"/>
      <c r="E56"/>
      <c r="F56"/>
    </row>
    <row r="57" spans="1:15" x14ac:dyDescent="0.3">
      <c r="A57"/>
      <c r="C57"/>
      <c r="E57"/>
      <c r="F57"/>
    </row>
    <row r="58" spans="1:15" x14ac:dyDescent="0.3">
      <c r="A58"/>
      <c r="C58"/>
      <c r="E58"/>
      <c r="F58"/>
    </row>
    <row r="59" spans="1:15" x14ac:dyDescent="0.3">
      <c r="A59"/>
      <c r="C59"/>
      <c r="E59"/>
      <c r="F59"/>
    </row>
    <row r="60" spans="1:15" ht="15" thickBot="1" x14ac:dyDescent="0.35">
      <c r="A60"/>
      <c r="C60"/>
      <c r="E60"/>
      <c r="F60" s="9"/>
      <c r="G60" s="9"/>
      <c r="H60" s="9"/>
      <c r="I60" s="9"/>
      <c r="J60" s="9"/>
    </row>
    <row r="61" spans="1:15" x14ac:dyDescent="0.3">
      <c r="A61"/>
      <c r="C61"/>
      <c r="E61"/>
      <c r="F61"/>
    </row>
    <row r="62" spans="1:15" x14ac:dyDescent="0.3">
      <c r="A62"/>
      <c r="C62"/>
      <c r="E62"/>
      <c r="F62"/>
    </row>
    <row r="63" spans="1:15" x14ac:dyDescent="0.3">
      <c r="A63"/>
      <c r="C63"/>
      <c r="E63"/>
      <c r="F63"/>
    </row>
    <row r="64" spans="1:15" x14ac:dyDescent="0.3">
      <c r="A64"/>
      <c r="C64"/>
      <c r="E64"/>
      <c r="F64"/>
    </row>
    <row r="65" customFormat="1" x14ac:dyDescent="0.3"/>
    <row r="66" customFormat="1" ht="15" customHeigh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ht="15" customHeight="1" x14ac:dyDescent="0.3"/>
    <row r="95" customFormat="1" x14ac:dyDescent="0.3"/>
    <row r="96" customFormat="1" x14ac:dyDescent="0.3"/>
    <row r="97" customFormat="1" x14ac:dyDescent="0.3"/>
    <row r="98" customFormat="1" ht="15" customHeight="1" x14ac:dyDescent="0.3"/>
    <row r="99" customFormat="1" x14ac:dyDescent="0.3"/>
    <row r="100" customFormat="1" x14ac:dyDescent="0.3"/>
    <row r="101" customFormat="1" ht="15" customHeigh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ht="15" customHeight="1" x14ac:dyDescent="0.3"/>
    <row r="137" customFormat="1" x14ac:dyDescent="0.3"/>
    <row r="138" customFormat="1" x14ac:dyDescent="0.3"/>
    <row r="139" customFormat="1" ht="15" customHeigh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ht="15" customHeigh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spans="1:6" customFormat="1" x14ac:dyDescent="0.3"/>
    <row r="162" spans="1:6" customFormat="1" x14ac:dyDescent="0.3"/>
    <row r="163" spans="1:6" customFormat="1" x14ac:dyDescent="0.3"/>
    <row r="164" spans="1:6" customFormat="1" x14ac:dyDescent="0.3"/>
    <row r="165" spans="1:6" customFormat="1" x14ac:dyDescent="0.3"/>
    <row r="166" spans="1:6" customFormat="1" x14ac:dyDescent="0.3"/>
    <row r="167" spans="1:6" customFormat="1" ht="15" customHeight="1" x14ac:dyDescent="0.3"/>
    <row r="168" spans="1:6" customFormat="1" x14ac:dyDescent="0.3"/>
    <row r="169" spans="1:6" customFormat="1" x14ac:dyDescent="0.3"/>
    <row r="170" spans="1:6" customFormat="1" x14ac:dyDescent="0.3"/>
    <row r="171" spans="1:6" customFormat="1" x14ac:dyDescent="0.3"/>
    <row r="172" spans="1:6" customFormat="1" x14ac:dyDescent="0.3"/>
    <row r="173" spans="1:6" customFormat="1" x14ac:dyDescent="0.3"/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ht="15" customHeight="1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  <row r="238" spans="1:6" x14ac:dyDescent="0.3">
      <c r="A238"/>
      <c r="C238" s="3"/>
      <c r="E238" s="1"/>
      <c r="F238"/>
    </row>
    <row r="239" spans="1:6" x14ac:dyDescent="0.3">
      <c r="A239"/>
      <c r="C239" s="3"/>
      <c r="E239" s="1"/>
      <c r="F239"/>
    </row>
    <row r="240" spans="1:6" x14ac:dyDescent="0.3">
      <c r="A240"/>
      <c r="C240" s="3"/>
      <c r="E240" s="1"/>
      <c r="F240"/>
    </row>
    <row r="241" spans="1:6" x14ac:dyDescent="0.3">
      <c r="A241"/>
      <c r="C241" s="3"/>
      <c r="E241" s="1"/>
      <c r="F241"/>
    </row>
    <row r="242" spans="1:6" x14ac:dyDescent="0.3">
      <c r="A242"/>
      <c r="C242" s="3"/>
      <c r="E242" s="1"/>
      <c r="F242"/>
    </row>
    <row r="243" spans="1:6" x14ac:dyDescent="0.3">
      <c r="A243"/>
      <c r="C243" s="3"/>
      <c r="E243" s="1"/>
      <c r="F243"/>
    </row>
    <row r="244" spans="1:6" x14ac:dyDescent="0.3">
      <c r="A244"/>
      <c r="C244" s="3"/>
      <c r="E244" s="1"/>
      <c r="F244"/>
    </row>
    <row r="245" spans="1:6" x14ac:dyDescent="0.3">
      <c r="A245"/>
      <c r="C245" s="3"/>
      <c r="E245" s="1"/>
      <c r="F245"/>
    </row>
    <row r="246" spans="1:6" x14ac:dyDescent="0.3">
      <c r="A246"/>
      <c r="C246" s="3"/>
      <c r="E246" s="1"/>
      <c r="F246"/>
    </row>
    <row r="247" spans="1:6" ht="15" customHeight="1" x14ac:dyDescent="0.3">
      <c r="A247"/>
      <c r="C247" s="3"/>
      <c r="E247" s="1"/>
      <c r="F247"/>
    </row>
    <row r="248" spans="1:6" x14ac:dyDescent="0.3">
      <c r="A248"/>
      <c r="C248" s="3"/>
      <c r="E248" s="1"/>
      <c r="F248"/>
    </row>
    <row r="249" spans="1:6" x14ac:dyDescent="0.3">
      <c r="A249"/>
      <c r="C249" s="3"/>
      <c r="E249" s="1"/>
      <c r="F249"/>
    </row>
    <row r="250" spans="1:6" x14ac:dyDescent="0.3">
      <c r="A250"/>
      <c r="C250" s="3"/>
      <c r="E250" s="1"/>
      <c r="F250"/>
    </row>
    <row r="251" spans="1:6" x14ac:dyDescent="0.3">
      <c r="A251"/>
      <c r="C251" s="3"/>
      <c r="E251" s="1"/>
      <c r="F251"/>
    </row>
    <row r="252" spans="1:6" x14ac:dyDescent="0.3">
      <c r="A252"/>
      <c r="C252" s="3"/>
      <c r="E252" s="1"/>
      <c r="F252"/>
    </row>
    <row r="253" spans="1:6" x14ac:dyDescent="0.3">
      <c r="A253"/>
      <c r="C253" s="3"/>
      <c r="E253" s="1"/>
      <c r="F253"/>
    </row>
    <row r="254" spans="1:6" x14ac:dyDescent="0.3">
      <c r="A254"/>
      <c r="C254" s="3"/>
      <c r="E254" s="1"/>
      <c r="F254"/>
    </row>
    <row r="255" spans="1:6" x14ac:dyDescent="0.3">
      <c r="A255"/>
      <c r="C255" s="3"/>
      <c r="E255" s="1"/>
      <c r="F255"/>
    </row>
    <row r="256" spans="1:6" x14ac:dyDescent="0.3">
      <c r="A256"/>
      <c r="C256" s="3"/>
      <c r="E256" s="1"/>
      <c r="F256"/>
    </row>
    <row r="257" spans="1:6" x14ac:dyDescent="0.3">
      <c r="A257"/>
      <c r="C257" s="3"/>
      <c r="E257" s="1"/>
      <c r="F257"/>
    </row>
    <row r="258" spans="1:6" x14ac:dyDescent="0.3">
      <c r="A258"/>
      <c r="C258" s="3"/>
      <c r="E258" s="1"/>
      <c r="F258"/>
    </row>
    <row r="259" spans="1:6" x14ac:dyDescent="0.3">
      <c r="A259"/>
      <c r="C259" s="3"/>
      <c r="E259" s="1"/>
      <c r="F259"/>
    </row>
    <row r="260" spans="1:6" x14ac:dyDescent="0.3">
      <c r="A260"/>
      <c r="C260" s="3"/>
      <c r="E260" s="1"/>
      <c r="F260"/>
    </row>
    <row r="261" spans="1:6" x14ac:dyDescent="0.3">
      <c r="A261"/>
      <c r="C261" s="3"/>
      <c r="E261" s="1"/>
      <c r="F261"/>
    </row>
    <row r="262" spans="1:6" x14ac:dyDescent="0.3">
      <c r="F262"/>
    </row>
    <row r="263" spans="1:6" x14ac:dyDescent="0.3">
      <c r="F263"/>
    </row>
    <row r="264" spans="1:6" x14ac:dyDescent="0.3">
      <c r="F264"/>
    </row>
    <row r="265" spans="1:6" x14ac:dyDescent="0.3">
      <c r="F265"/>
    </row>
    <row r="266" spans="1:6" x14ac:dyDescent="0.3">
      <c r="F266"/>
    </row>
    <row r="267" spans="1:6" x14ac:dyDescent="0.3">
      <c r="F267"/>
    </row>
    <row r="268" spans="1:6" x14ac:dyDescent="0.3">
      <c r="F268"/>
    </row>
    <row r="269" spans="1:6" x14ac:dyDescent="0.3">
      <c r="F269"/>
    </row>
  </sheetData>
  <mergeCells count="15">
    <mergeCell ref="G1:J1"/>
    <mergeCell ref="N3:N13"/>
    <mergeCell ref="O3:O13"/>
    <mergeCell ref="A15:A52"/>
    <mergeCell ref="D16:D21"/>
    <mergeCell ref="D22:D26"/>
    <mergeCell ref="A3:A13"/>
    <mergeCell ref="B3:B13"/>
    <mergeCell ref="C3:C13"/>
    <mergeCell ref="K3:K13"/>
    <mergeCell ref="D27:D36"/>
    <mergeCell ref="D37:D39"/>
    <mergeCell ref="D40:D42"/>
    <mergeCell ref="L3:L13"/>
    <mergeCell ref="M3:M13"/>
  </mergeCells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 codeName="Feuil19"/>
  <dimension ref="A1:K237"/>
  <sheetViews>
    <sheetView zoomScale="70" zoomScaleNormal="70" workbookViewId="0">
      <selection activeCell="E4" sqref="E4:E8"/>
    </sheetView>
  </sheetViews>
  <sheetFormatPr baseColWidth="10" defaultColWidth="11.44140625" defaultRowHeight="14.4" x14ac:dyDescent="0.3"/>
  <cols>
    <col min="1" max="1" width="39.109375" style="29" bestFit="1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3.44140625" bestFit="1" customWidth="1"/>
    <col min="9" max="9" width="35.3320312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123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122</v>
      </c>
      <c r="B4" s="1025" t="s">
        <v>123</v>
      </c>
      <c r="C4" s="1034" t="s">
        <v>493</v>
      </c>
      <c r="D4" s="125" t="s">
        <v>234</v>
      </c>
      <c r="E4" s="125">
        <f>SUM(E5:E8)</f>
        <v>0.184</v>
      </c>
      <c r="F4" s="1043"/>
      <c r="G4" s="1007" t="s">
        <v>493</v>
      </c>
      <c r="H4" s="1007" t="s">
        <v>127</v>
      </c>
      <c r="I4" s="1007" t="s">
        <v>67</v>
      </c>
      <c r="J4" s="1007">
        <v>295</v>
      </c>
      <c r="K4" s="1007" t="s">
        <v>30</v>
      </c>
    </row>
    <row r="5" spans="1:11" ht="15" thickBot="1" x14ac:dyDescent="0.35">
      <c r="A5" s="1113"/>
      <c r="B5" s="1026"/>
      <c r="C5" s="1035"/>
      <c r="D5" s="72" t="s">
        <v>91</v>
      </c>
      <c r="E5" s="277">
        <f>SUM(E15)</f>
        <v>0.105</v>
      </c>
      <c r="F5" s="985"/>
      <c r="G5" s="1008"/>
      <c r="H5" s="1009"/>
      <c r="I5" s="1008"/>
      <c r="J5" s="1009"/>
      <c r="K5" s="1009"/>
    </row>
    <row r="6" spans="1:11" x14ac:dyDescent="0.3">
      <c r="A6" s="1113"/>
      <c r="B6" s="1026"/>
      <c r="C6" s="1035"/>
      <c r="D6" s="435" t="s">
        <v>60</v>
      </c>
      <c r="E6" s="435">
        <f>SUM(E16)</f>
        <v>1E-3</v>
      </c>
      <c r="F6" s="985"/>
      <c r="G6" s="1008"/>
      <c r="H6" s="1065" t="s">
        <v>130</v>
      </c>
      <c r="I6" s="1007"/>
      <c r="J6" s="1007"/>
      <c r="K6" s="1007" t="s">
        <v>498</v>
      </c>
    </row>
    <row r="7" spans="1:11" ht="15" thickBot="1" x14ac:dyDescent="0.35">
      <c r="A7" s="1113"/>
      <c r="B7" s="1026"/>
      <c r="C7" s="1035"/>
      <c r="D7" s="438" t="s">
        <v>249</v>
      </c>
      <c r="E7" s="438">
        <f>SUM(E17)</f>
        <v>3.9E-2</v>
      </c>
      <c r="F7" s="985"/>
      <c r="G7" s="1008"/>
      <c r="H7" s="1066"/>
      <c r="I7" s="1008"/>
      <c r="J7" s="1008"/>
      <c r="K7" s="1009"/>
    </row>
    <row r="8" spans="1:11" x14ac:dyDescent="0.3">
      <c r="A8" s="1113"/>
      <c r="B8" s="1026"/>
      <c r="C8" s="1035"/>
      <c r="D8" s="442" t="s">
        <v>246</v>
      </c>
      <c r="E8" s="442">
        <f>SUM(E18)</f>
        <v>3.9E-2</v>
      </c>
      <c r="F8" s="985"/>
      <c r="G8" s="1008"/>
      <c r="H8" s="1066"/>
      <c r="I8" s="1008"/>
      <c r="J8" s="1008"/>
      <c r="K8" s="1008" t="s">
        <v>30</v>
      </c>
    </row>
    <row r="9" spans="1:11" x14ac:dyDescent="0.3">
      <c r="A9" s="1113"/>
      <c r="B9" s="1026"/>
      <c r="C9" s="1035"/>
      <c r="D9" s="123"/>
      <c r="E9" s="123"/>
      <c r="F9" s="985"/>
      <c r="G9" s="1008"/>
      <c r="H9" s="1066"/>
      <c r="I9" s="1008"/>
      <c r="J9" s="1008"/>
      <c r="K9" s="1008"/>
    </row>
    <row r="10" spans="1:11" ht="15" thickBot="1" x14ac:dyDescent="0.35">
      <c r="A10" s="1113"/>
      <c r="B10" s="1026"/>
      <c r="C10" s="1035"/>
      <c r="D10" s="123"/>
      <c r="E10" s="123"/>
      <c r="F10" s="985"/>
      <c r="G10" s="1008"/>
      <c r="H10" s="1067"/>
      <c r="I10" s="1009"/>
      <c r="J10" s="1009"/>
      <c r="K10" s="1009"/>
    </row>
    <row r="11" spans="1:11" x14ac:dyDescent="0.3">
      <c r="A11" s="1113"/>
      <c r="B11" s="1026"/>
      <c r="C11" s="1035"/>
      <c r="D11" s="123"/>
      <c r="E11" s="123"/>
      <c r="F11" s="985"/>
      <c r="G11" s="1008"/>
      <c r="H11" s="1007" t="s">
        <v>133</v>
      </c>
      <c r="I11" s="1008"/>
      <c r="J11" s="1007"/>
      <c r="K11" s="1007" t="s">
        <v>44</v>
      </c>
    </row>
    <row r="12" spans="1:11" ht="15" thickBot="1" x14ac:dyDescent="0.35">
      <c r="A12" s="1072"/>
      <c r="B12" s="1027"/>
      <c r="C12" s="1036"/>
      <c r="D12" s="80"/>
      <c r="E12" s="53"/>
      <c r="F12" s="1044"/>
      <c r="G12" s="1009"/>
      <c r="H12" s="1009"/>
      <c r="I12" s="1009"/>
      <c r="J12" s="1009"/>
      <c r="K12" s="1009"/>
    </row>
    <row r="13" spans="1:11" ht="15" thickBot="1" x14ac:dyDescent="0.35">
      <c r="A13"/>
      <c r="C13" s="3"/>
      <c r="E13" s="1"/>
      <c r="F13"/>
    </row>
    <row r="14" spans="1:11" x14ac:dyDescent="0.3">
      <c r="A14" s="1101" t="s">
        <v>122</v>
      </c>
      <c r="B14" s="83" t="s">
        <v>123</v>
      </c>
      <c r="C14" s="44"/>
      <c r="D14" s="90" t="s">
        <v>532</v>
      </c>
      <c r="E14" s="92">
        <f>SUM(E15:E18)</f>
        <v>0.184</v>
      </c>
      <c r="F14" s="5"/>
      <c r="G14" s="38"/>
      <c r="H14" s="5"/>
      <c r="I14" s="5"/>
      <c r="J14" s="5"/>
      <c r="K14" s="6"/>
    </row>
    <row r="15" spans="1:11" x14ac:dyDescent="0.3">
      <c r="A15" s="1102"/>
      <c r="B15" s="97" t="s">
        <v>1009</v>
      </c>
      <c r="C15" s="69"/>
      <c r="D15" s="159" t="s">
        <v>91</v>
      </c>
      <c r="E15" s="99">
        <v>0.105</v>
      </c>
      <c r="F15" s="3"/>
      <c r="G15" s="3"/>
      <c r="K15" s="8"/>
    </row>
    <row r="16" spans="1:11" x14ac:dyDescent="0.3">
      <c r="A16" s="1102"/>
      <c r="B16" s="183" t="s">
        <v>1010</v>
      </c>
      <c r="C16" s="3"/>
      <c r="D16" s="309" t="s">
        <v>60</v>
      </c>
      <c r="E16" s="309">
        <v>1E-3</v>
      </c>
      <c r="F16" s="3"/>
      <c r="K16" s="8"/>
    </row>
    <row r="17" spans="1:11" x14ac:dyDescent="0.3">
      <c r="A17" s="1102"/>
      <c r="B17" s="414" t="s">
        <v>1011</v>
      </c>
      <c r="C17" s="3"/>
      <c r="D17" s="400" t="s">
        <v>249</v>
      </c>
      <c r="E17" s="400">
        <v>3.9E-2</v>
      </c>
      <c r="F17" s="3"/>
      <c r="K17" s="8"/>
    </row>
    <row r="18" spans="1:11" x14ac:dyDescent="0.3">
      <c r="A18" s="1102"/>
      <c r="B18" s="354" t="s">
        <v>1012</v>
      </c>
      <c r="C18" s="3"/>
      <c r="D18" s="355" t="s">
        <v>246</v>
      </c>
      <c r="E18" s="355">
        <v>3.9E-2</v>
      </c>
      <c r="F18" s="3"/>
      <c r="K18" s="8"/>
    </row>
    <row r="19" spans="1:11" x14ac:dyDescent="0.3">
      <c r="A19" s="1102"/>
      <c r="B19" s="112"/>
      <c r="C19" s="3"/>
      <c r="D19" s="119"/>
      <c r="E19" s="119"/>
      <c r="F19" s="3"/>
      <c r="K19" s="8"/>
    </row>
    <row r="20" spans="1:11" x14ac:dyDescent="0.3">
      <c r="A20" s="1102"/>
      <c r="B20" s="112"/>
      <c r="C20" s="3"/>
      <c r="D20" s="119"/>
      <c r="E20" s="119"/>
      <c r="F20" s="3"/>
      <c r="K20" s="8"/>
    </row>
    <row r="21" spans="1:11" x14ac:dyDescent="0.3">
      <c r="A21" s="1102"/>
      <c r="B21" s="112"/>
      <c r="C21" s="3"/>
      <c r="D21" s="119"/>
      <c r="E21" s="119"/>
      <c r="F21" s="3"/>
      <c r="K21" s="8"/>
    </row>
    <row r="22" spans="1:11" x14ac:dyDescent="0.3">
      <c r="A22" s="1102"/>
      <c r="B22" s="112"/>
      <c r="C22" s="3"/>
      <c r="D22" s="119"/>
      <c r="E22" s="119"/>
      <c r="F22" s="3"/>
      <c r="K22" s="8"/>
    </row>
    <row r="23" spans="1:11" x14ac:dyDescent="0.3">
      <c r="A23" s="1102"/>
      <c r="B23" s="112"/>
      <c r="C23" s="3"/>
      <c r="D23" s="119"/>
      <c r="E23" s="119"/>
      <c r="F23" s="3"/>
      <c r="K23" s="8"/>
    </row>
    <row r="24" spans="1:11" x14ac:dyDescent="0.3">
      <c r="A24" s="1102"/>
      <c r="B24" s="112"/>
      <c r="C24" s="3"/>
      <c r="D24" s="119"/>
      <c r="E24" s="119"/>
      <c r="F24" s="3"/>
      <c r="K24" s="8"/>
    </row>
    <row r="25" spans="1:11" x14ac:dyDescent="0.3">
      <c r="A25" s="1102"/>
      <c r="B25" s="112"/>
      <c r="C25" s="3"/>
      <c r="D25" s="119"/>
      <c r="E25" s="119"/>
      <c r="F25" s="3"/>
      <c r="K25" s="8"/>
    </row>
    <row r="26" spans="1:11" x14ac:dyDescent="0.3">
      <c r="A26" s="1102"/>
      <c r="B26" s="112"/>
      <c r="C26" s="3"/>
      <c r="D26" s="119"/>
      <c r="E26" s="119"/>
      <c r="F26" s="3"/>
      <c r="K26" s="8"/>
    </row>
    <row r="27" spans="1:11" x14ac:dyDescent="0.3">
      <c r="A27" s="1102"/>
      <c r="B27" s="112"/>
      <c r="C27" s="3"/>
      <c r="D27" s="119"/>
      <c r="E27" s="119"/>
      <c r="F27" s="3"/>
      <c r="K27" s="8"/>
    </row>
    <row r="28" spans="1:11" ht="15" thickBot="1" x14ac:dyDescent="0.35">
      <c r="A28" s="1103"/>
      <c r="B28" s="89"/>
      <c r="C28" s="9"/>
      <c r="D28" s="91"/>
      <c r="E28" s="91"/>
      <c r="F28" s="9"/>
      <c r="G28" s="9"/>
      <c r="H28" s="9"/>
      <c r="I28" s="9"/>
      <c r="J28" s="9"/>
      <c r="K28" s="10"/>
    </row>
    <row r="29" spans="1:11" x14ac:dyDescent="0.3">
      <c r="A29"/>
      <c r="C29"/>
      <c r="E29"/>
      <c r="F29"/>
    </row>
    <row r="30" spans="1:11" x14ac:dyDescent="0.3">
      <c r="A30"/>
      <c r="C30"/>
      <c r="E30"/>
      <c r="F30"/>
    </row>
    <row r="31" spans="1:11" x14ac:dyDescent="0.3">
      <c r="A31"/>
      <c r="C31"/>
      <c r="E31"/>
      <c r="F31"/>
    </row>
    <row r="32" spans="1:11" x14ac:dyDescent="0.3">
      <c r="A32"/>
      <c r="C32"/>
      <c r="E32"/>
      <c r="F32"/>
    </row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ht="15" customHeigh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ht="15" customHeight="1" x14ac:dyDescent="0.3"/>
    <row r="71" customFormat="1" x14ac:dyDescent="0.3"/>
    <row r="72" customFormat="1" x14ac:dyDescent="0.3"/>
    <row r="73" customFormat="1" x14ac:dyDescent="0.3"/>
    <row r="74" customFormat="1" ht="15" customHeight="1" x14ac:dyDescent="0.3"/>
    <row r="75" customFormat="1" x14ac:dyDescent="0.3"/>
    <row r="76" customFormat="1" x14ac:dyDescent="0.3"/>
    <row r="77" customFormat="1" ht="15" customHeigh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ht="15" customHeight="1" x14ac:dyDescent="0.3"/>
    <row r="113" customFormat="1" x14ac:dyDescent="0.3"/>
    <row r="114" customFormat="1" x14ac:dyDescent="0.3"/>
    <row r="115" customFormat="1" ht="15" customHeigh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ht="15" customHeigh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ht="15" customHeight="1" x14ac:dyDescent="0.3"/>
    <row r="144" customFormat="1" x14ac:dyDescent="0.3"/>
    <row r="145" spans="1:6" customFormat="1" x14ac:dyDescent="0.3"/>
    <row r="146" spans="1:6" customFormat="1" x14ac:dyDescent="0.3"/>
    <row r="147" spans="1:6" customFormat="1" x14ac:dyDescent="0.3"/>
    <row r="148" spans="1:6" customFormat="1" x14ac:dyDescent="0.3"/>
    <row r="149" spans="1:6" customFormat="1" x14ac:dyDescent="0.3"/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ht="15" customHeight="1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ht="15" customHeight="1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</sheetData>
  <mergeCells count="19">
    <mergeCell ref="G4:G12"/>
    <mergeCell ref="A14:A28"/>
    <mergeCell ref="A4:A12"/>
    <mergeCell ref="B4:B12"/>
    <mergeCell ref="C4:C12"/>
    <mergeCell ref="F4:F12"/>
    <mergeCell ref="K4:K5"/>
    <mergeCell ref="K11:K12"/>
    <mergeCell ref="I6:I10"/>
    <mergeCell ref="H6:H10"/>
    <mergeCell ref="I11:I12"/>
    <mergeCell ref="J4:J5"/>
    <mergeCell ref="J6:J10"/>
    <mergeCell ref="J11:J12"/>
    <mergeCell ref="K6:K7"/>
    <mergeCell ref="K8:K10"/>
    <mergeCell ref="H4:H5"/>
    <mergeCell ref="H11:H12"/>
    <mergeCell ref="I4:I5"/>
  </mergeCells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 codeName="Feuil20"/>
  <dimension ref="A1:K237"/>
  <sheetViews>
    <sheetView topLeftCell="C1" zoomScale="70" zoomScaleNormal="70" workbookViewId="0">
      <selection activeCell="H6" sqref="H6:H10"/>
    </sheetView>
  </sheetViews>
  <sheetFormatPr baseColWidth="10" defaultColWidth="11.44140625" defaultRowHeight="14.4" x14ac:dyDescent="0.3"/>
  <cols>
    <col min="1" max="1" width="39.109375" style="29" bestFit="1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3.44140625" bestFit="1" customWidth="1"/>
    <col min="9" max="9" width="35.3320312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136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135</v>
      </c>
      <c r="B4" s="1025" t="s">
        <v>136</v>
      </c>
      <c r="C4" s="1034" t="s">
        <v>493</v>
      </c>
      <c r="D4" s="125" t="s">
        <v>234</v>
      </c>
      <c r="E4" s="125">
        <f>SUM(E5:E9)</f>
        <v>0.29414950000000006</v>
      </c>
      <c r="F4" s="1043"/>
      <c r="G4" s="1007" t="s">
        <v>493</v>
      </c>
      <c r="H4" s="1007" t="s">
        <v>127</v>
      </c>
      <c r="I4" s="1007" t="s">
        <v>67</v>
      </c>
      <c r="J4" s="1007">
        <v>295</v>
      </c>
      <c r="K4" s="1007" t="s">
        <v>30</v>
      </c>
    </row>
    <row r="5" spans="1:11" ht="15" thickBot="1" x14ac:dyDescent="0.35">
      <c r="A5" s="1113"/>
      <c r="B5" s="1026"/>
      <c r="C5" s="1035"/>
      <c r="D5" s="72" t="s">
        <v>91</v>
      </c>
      <c r="E5" s="277">
        <f>SUM(E15)</f>
        <v>0.17</v>
      </c>
      <c r="F5" s="985"/>
      <c r="G5" s="1008"/>
      <c r="H5" s="1009"/>
      <c r="I5" s="1008"/>
      <c r="J5" s="1009"/>
      <c r="K5" s="1009"/>
    </row>
    <row r="6" spans="1:11" x14ac:dyDescent="0.3">
      <c r="A6" s="1113"/>
      <c r="B6" s="1026"/>
      <c r="C6" s="1035"/>
      <c r="D6" s="319" t="s">
        <v>253</v>
      </c>
      <c r="E6" s="319">
        <f>SUM(E16:E20)</f>
        <v>1.91495E-2</v>
      </c>
      <c r="F6" s="985"/>
      <c r="G6" s="1008"/>
      <c r="H6" s="1065" t="s">
        <v>130</v>
      </c>
      <c r="I6" s="1007"/>
      <c r="J6" s="1007"/>
      <c r="K6" s="1007" t="s">
        <v>498</v>
      </c>
    </row>
    <row r="7" spans="1:11" ht="15" thickBot="1" x14ac:dyDescent="0.35">
      <c r="A7" s="1113"/>
      <c r="B7" s="1026"/>
      <c r="C7" s="1035"/>
      <c r="D7" s="438" t="s">
        <v>249</v>
      </c>
      <c r="E7" s="438">
        <f>SUM(E21)</f>
        <v>3.9E-2</v>
      </c>
      <c r="F7" s="985"/>
      <c r="G7" s="1008"/>
      <c r="H7" s="1066"/>
      <c r="I7" s="1008"/>
      <c r="J7" s="1008"/>
      <c r="K7" s="1009"/>
    </row>
    <row r="8" spans="1:11" x14ac:dyDescent="0.3">
      <c r="A8" s="1113"/>
      <c r="B8" s="1026"/>
      <c r="C8" s="1035"/>
      <c r="D8" s="442" t="s">
        <v>246</v>
      </c>
      <c r="E8" s="442">
        <f>SUM(E22)</f>
        <v>0.06</v>
      </c>
      <c r="F8" s="985"/>
      <c r="G8" s="1008"/>
      <c r="H8" s="1066"/>
      <c r="I8" s="1008"/>
      <c r="J8" s="1008"/>
      <c r="K8" s="1008" t="s">
        <v>30</v>
      </c>
    </row>
    <row r="9" spans="1:11" x14ac:dyDescent="0.3">
      <c r="A9" s="1113"/>
      <c r="B9" s="1026"/>
      <c r="C9" s="1035"/>
      <c r="D9" s="358" t="s">
        <v>247</v>
      </c>
      <c r="E9" s="358">
        <f>SUM(E23:E24)</f>
        <v>6.0000000000000001E-3</v>
      </c>
      <c r="F9" s="985"/>
      <c r="G9" s="1008"/>
      <c r="H9" s="1066"/>
      <c r="I9" s="1008"/>
      <c r="J9" s="1008"/>
      <c r="K9" s="1008"/>
    </row>
    <row r="10" spans="1:11" ht="15" thickBot="1" x14ac:dyDescent="0.35">
      <c r="A10" s="1113"/>
      <c r="B10" s="1026"/>
      <c r="C10" s="1035"/>
      <c r="D10" s="123"/>
      <c r="E10" s="123"/>
      <c r="F10" s="985"/>
      <c r="G10" s="1008"/>
      <c r="H10" s="1067"/>
      <c r="I10" s="1009"/>
      <c r="J10" s="1009"/>
      <c r="K10" s="1009"/>
    </row>
    <row r="11" spans="1:11" x14ac:dyDescent="0.3">
      <c r="A11" s="1113"/>
      <c r="B11" s="1026"/>
      <c r="C11" s="1035"/>
      <c r="D11" s="123"/>
      <c r="E11" s="123"/>
      <c r="F11" s="985"/>
      <c r="G11" s="1008"/>
      <c r="H11" s="1007" t="s">
        <v>133</v>
      </c>
      <c r="I11" s="1008"/>
      <c r="J11" s="1007"/>
      <c r="K11" s="1007" t="s">
        <v>44</v>
      </c>
    </row>
    <row r="12" spans="1:11" ht="15" thickBot="1" x14ac:dyDescent="0.35">
      <c r="A12" s="1072"/>
      <c r="B12" s="1027"/>
      <c r="C12" s="1036"/>
      <c r="D12" s="80"/>
      <c r="E12" s="53"/>
      <c r="F12" s="1044"/>
      <c r="G12" s="1009"/>
      <c r="H12" s="1009"/>
      <c r="I12" s="1009"/>
      <c r="J12" s="1009"/>
      <c r="K12" s="1009"/>
    </row>
    <row r="13" spans="1:11" ht="15" thickBot="1" x14ac:dyDescent="0.35">
      <c r="A13"/>
      <c r="C13" s="3"/>
      <c r="E13" s="1"/>
      <c r="F13"/>
    </row>
    <row r="14" spans="1:11" x14ac:dyDescent="0.3">
      <c r="A14" s="1101" t="s">
        <v>135</v>
      </c>
      <c r="B14" s="83" t="s">
        <v>136</v>
      </c>
      <c r="C14" s="44"/>
      <c r="D14" s="90" t="s">
        <v>532</v>
      </c>
      <c r="E14" s="92">
        <f>SUM(E15:E24)</f>
        <v>0.29414950000000006</v>
      </c>
      <c r="F14" s="5"/>
      <c r="G14" s="38"/>
      <c r="H14" s="5"/>
      <c r="I14" s="5"/>
      <c r="J14" s="5"/>
      <c r="K14" s="6"/>
    </row>
    <row r="15" spans="1:11" x14ac:dyDescent="0.3">
      <c r="A15" s="1102"/>
      <c r="B15" s="97" t="s">
        <v>1013</v>
      </c>
      <c r="C15" s="69"/>
      <c r="D15" s="159" t="s">
        <v>91</v>
      </c>
      <c r="E15" s="99">
        <v>0.17</v>
      </c>
      <c r="F15" s="3"/>
      <c r="G15" s="3"/>
      <c r="K15" s="8"/>
    </row>
    <row r="16" spans="1:11" x14ac:dyDescent="0.3">
      <c r="A16" s="1102"/>
      <c r="B16" s="193" t="s">
        <v>854</v>
      </c>
      <c r="C16" s="3"/>
      <c r="D16" s="1096" t="s">
        <v>253</v>
      </c>
      <c r="E16" s="173">
        <v>5.7070000000000005E-4</v>
      </c>
      <c r="F16" s="3"/>
      <c r="K16" s="8"/>
    </row>
    <row r="17" spans="1:11" x14ac:dyDescent="0.3">
      <c r="A17" s="1102"/>
      <c r="B17" s="193" t="s">
        <v>1014</v>
      </c>
      <c r="C17" s="3"/>
      <c r="D17" s="1096"/>
      <c r="E17" s="173">
        <v>7.0000000000000001E-3</v>
      </c>
      <c r="F17" s="3"/>
      <c r="K17" s="8"/>
    </row>
    <row r="18" spans="1:11" x14ac:dyDescent="0.3">
      <c r="A18" s="1102"/>
      <c r="B18" s="193" t="s">
        <v>1015</v>
      </c>
      <c r="C18" s="3"/>
      <c r="D18" s="1096"/>
      <c r="E18" s="173">
        <v>5.7879999999999997E-4</v>
      </c>
      <c r="F18" s="3"/>
      <c r="K18" s="8"/>
    </row>
    <row r="19" spans="1:11" x14ac:dyDescent="0.3">
      <c r="A19" s="1102"/>
      <c r="B19" s="193" t="s">
        <v>1016</v>
      </c>
      <c r="C19" s="3"/>
      <c r="D19" s="1096"/>
      <c r="E19" s="173">
        <v>6.0000000000000001E-3</v>
      </c>
      <c r="F19" s="3"/>
      <c r="K19" s="8"/>
    </row>
    <row r="20" spans="1:11" x14ac:dyDescent="0.3">
      <c r="A20" s="1102"/>
      <c r="B20" s="193" t="s">
        <v>855</v>
      </c>
      <c r="C20" s="3"/>
      <c r="D20" s="1096"/>
      <c r="E20" s="173">
        <v>5.0000000000000001E-3</v>
      </c>
      <c r="F20" s="3"/>
      <c r="K20" s="8"/>
    </row>
    <row r="21" spans="1:11" x14ac:dyDescent="0.3">
      <c r="A21" s="1102"/>
      <c r="B21" s="414" t="s">
        <v>1011</v>
      </c>
      <c r="C21" s="3"/>
      <c r="D21" s="400" t="s">
        <v>249</v>
      </c>
      <c r="E21" s="400">
        <v>3.9E-2</v>
      </c>
      <c r="F21" s="3"/>
      <c r="K21" s="8"/>
    </row>
    <row r="22" spans="1:11" x14ac:dyDescent="0.3">
      <c r="A22" s="1102"/>
      <c r="B22" s="354" t="s">
        <v>1012</v>
      </c>
      <c r="C22" s="3"/>
      <c r="D22" s="355" t="s">
        <v>246</v>
      </c>
      <c r="E22" s="355">
        <v>0.06</v>
      </c>
      <c r="F22" s="3"/>
      <c r="K22" s="8"/>
    </row>
    <row r="23" spans="1:11" x14ac:dyDescent="0.3">
      <c r="A23" s="1102"/>
      <c r="B23" s="356" t="s">
        <v>1017</v>
      </c>
      <c r="C23" s="3"/>
      <c r="D23" s="1172" t="s">
        <v>247</v>
      </c>
      <c r="E23" s="357">
        <v>3.0000000000000001E-3</v>
      </c>
      <c r="F23" s="3"/>
      <c r="K23" s="8"/>
    </row>
    <row r="24" spans="1:11" x14ac:dyDescent="0.3">
      <c r="A24" s="1102"/>
      <c r="B24" s="356" t="s">
        <v>1018</v>
      </c>
      <c r="C24" s="3"/>
      <c r="D24" s="1172"/>
      <c r="E24" s="357">
        <v>3.0000000000000001E-3</v>
      </c>
      <c r="F24" s="3"/>
      <c r="K24" s="8"/>
    </row>
    <row r="25" spans="1:11" x14ac:dyDescent="0.3">
      <c r="A25" s="1102"/>
      <c r="B25" s="112"/>
      <c r="C25" s="3"/>
      <c r="D25" s="119"/>
      <c r="E25" s="119"/>
      <c r="F25" s="3"/>
      <c r="K25" s="8"/>
    </row>
    <row r="26" spans="1:11" x14ac:dyDescent="0.3">
      <c r="A26" s="1102"/>
      <c r="B26" s="112"/>
      <c r="C26" s="3"/>
      <c r="D26" s="119"/>
      <c r="E26" s="119"/>
      <c r="F26" s="3"/>
      <c r="K26" s="8"/>
    </row>
    <row r="27" spans="1:11" x14ac:dyDescent="0.3">
      <c r="A27" s="1102"/>
      <c r="B27" s="112"/>
      <c r="C27" s="3"/>
      <c r="D27" s="119"/>
      <c r="E27" s="119"/>
      <c r="F27" s="3"/>
      <c r="K27" s="8"/>
    </row>
    <row r="28" spans="1:11" ht="15" thickBot="1" x14ac:dyDescent="0.35">
      <c r="A28" s="1103"/>
      <c r="B28" s="89"/>
      <c r="C28" s="9"/>
      <c r="D28" s="91"/>
      <c r="E28" s="91"/>
      <c r="F28" s="9"/>
      <c r="G28" s="9"/>
      <c r="H28" s="9"/>
      <c r="I28" s="9"/>
      <c r="J28" s="9"/>
      <c r="K28" s="10"/>
    </row>
    <row r="29" spans="1:11" x14ac:dyDescent="0.3">
      <c r="A29"/>
      <c r="C29"/>
      <c r="E29"/>
      <c r="F29"/>
    </row>
    <row r="30" spans="1:11" x14ac:dyDescent="0.3">
      <c r="A30"/>
      <c r="C30"/>
      <c r="E30"/>
      <c r="F30"/>
    </row>
    <row r="31" spans="1:11" x14ac:dyDescent="0.3">
      <c r="A31"/>
      <c r="C31"/>
      <c r="E31"/>
      <c r="F31"/>
    </row>
    <row r="32" spans="1:11" x14ac:dyDescent="0.3">
      <c r="A32"/>
      <c r="C32"/>
      <c r="E32"/>
      <c r="F32"/>
    </row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ht="15" customHeigh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ht="15" customHeight="1" x14ac:dyDescent="0.3"/>
    <row r="71" customFormat="1" x14ac:dyDescent="0.3"/>
    <row r="72" customFormat="1" x14ac:dyDescent="0.3"/>
    <row r="73" customFormat="1" x14ac:dyDescent="0.3"/>
    <row r="74" customFormat="1" ht="15" customHeight="1" x14ac:dyDescent="0.3"/>
    <row r="75" customFormat="1" x14ac:dyDescent="0.3"/>
    <row r="76" customFormat="1" x14ac:dyDescent="0.3"/>
    <row r="77" customFormat="1" ht="15" customHeigh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ht="15" customHeight="1" x14ac:dyDescent="0.3"/>
    <row r="113" customFormat="1" x14ac:dyDescent="0.3"/>
    <row r="114" customFormat="1" x14ac:dyDescent="0.3"/>
    <row r="115" customFormat="1" ht="15" customHeigh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ht="15" customHeigh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ht="15" customHeight="1" x14ac:dyDescent="0.3"/>
    <row r="144" customFormat="1" x14ac:dyDescent="0.3"/>
    <row r="145" spans="1:6" customFormat="1" x14ac:dyDescent="0.3"/>
    <row r="146" spans="1:6" customFormat="1" x14ac:dyDescent="0.3"/>
    <row r="147" spans="1:6" customFormat="1" x14ac:dyDescent="0.3"/>
    <row r="148" spans="1:6" customFormat="1" x14ac:dyDescent="0.3"/>
    <row r="149" spans="1:6" customFormat="1" x14ac:dyDescent="0.3"/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ht="15" customHeight="1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ht="15" customHeight="1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</sheetData>
  <mergeCells count="21">
    <mergeCell ref="F4:F12"/>
    <mergeCell ref="G4:G12"/>
    <mergeCell ref="H4:H5"/>
    <mergeCell ref="I4:I5"/>
    <mergeCell ref="J4:J5"/>
    <mergeCell ref="H11:H12"/>
    <mergeCell ref="I11:I12"/>
    <mergeCell ref="J11:J12"/>
    <mergeCell ref="A14:A28"/>
    <mergeCell ref="D16:D20"/>
    <mergeCell ref="D23:D24"/>
    <mergeCell ref="A4:A12"/>
    <mergeCell ref="B4:B12"/>
    <mergeCell ref="C4:C12"/>
    <mergeCell ref="K11:K12"/>
    <mergeCell ref="K4:K5"/>
    <mergeCell ref="H6:H10"/>
    <mergeCell ref="I6:I10"/>
    <mergeCell ref="J6:J10"/>
    <mergeCell ref="K6:K7"/>
    <mergeCell ref="K8:K10"/>
  </mergeCells>
  <pageMargins left="0.7" right="0.7" top="0.75" bottom="0.75" header="0.3" footer="0.3"/>
  <pageSetup paperSize="9"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 codeName="Feuil21"/>
  <dimension ref="A1:K222"/>
  <sheetViews>
    <sheetView topLeftCell="C1" zoomScale="70" zoomScaleNormal="70" workbookViewId="0">
      <selection activeCell="D42" sqref="D42"/>
    </sheetView>
  </sheetViews>
  <sheetFormatPr baseColWidth="10" defaultColWidth="11.44140625" defaultRowHeight="14.4" x14ac:dyDescent="0.3"/>
  <cols>
    <col min="1" max="1" width="39.109375" style="29" bestFit="1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33.10937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138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137</v>
      </c>
      <c r="B4" s="1025" t="s">
        <v>138</v>
      </c>
      <c r="C4" s="1034" t="s">
        <v>90</v>
      </c>
      <c r="D4" s="125" t="s">
        <v>234</v>
      </c>
      <c r="E4" s="125">
        <f>SUM(E5:E6)</f>
        <v>0.12300000000000001</v>
      </c>
      <c r="F4" s="1043"/>
      <c r="G4" s="1007" t="s">
        <v>483</v>
      </c>
      <c r="H4" s="1007" t="s">
        <v>93</v>
      </c>
      <c r="I4" s="1016" t="s">
        <v>94</v>
      </c>
      <c r="J4" s="1016">
        <v>240</v>
      </c>
      <c r="K4" s="1136" t="s">
        <v>30</v>
      </c>
    </row>
    <row r="5" spans="1:11" x14ac:dyDescent="0.3">
      <c r="A5" s="1113"/>
      <c r="B5" s="1026"/>
      <c r="C5" s="1035"/>
      <c r="D5" s="198" t="s">
        <v>91</v>
      </c>
      <c r="E5" s="72">
        <v>0.11700000000000001</v>
      </c>
      <c r="F5" s="985"/>
      <c r="G5" s="1008"/>
      <c r="H5" s="1008"/>
      <c r="I5" s="1017"/>
      <c r="J5" s="1017"/>
      <c r="K5" s="1137"/>
    </row>
    <row r="6" spans="1:11" x14ac:dyDescent="0.3">
      <c r="A6" s="1113"/>
      <c r="B6" s="1026"/>
      <c r="C6" s="1035"/>
      <c r="D6" s="319" t="s">
        <v>253</v>
      </c>
      <c r="E6" s="319">
        <f>SUM(E13:E13)</f>
        <v>6.0000000000000001E-3</v>
      </c>
      <c r="F6" s="985"/>
      <c r="G6" s="1008"/>
      <c r="H6" s="1008"/>
      <c r="I6" s="1145"/>
      <c r="J6" s="1145"/>
      <c r="K6" s="1142"/>
    </row>
    <row r="7" spans="1:11" x14ac:dyDescent="0.3">
      <c r="A7" s="1113"/>
      <c r="B7" s="1026"/>
      <c r="C7" s="1035"/>
      <c r="D7" s="123"/>
      <c r="E7" s="123"/>
      <c r="F7" s="985"/>
      <c r="G7" s="1008"/>
      <c r="H7" s="1008"/>
      <c r="I7" s="1145"/>
      <c r="J7" s="1145"/>
      <c r="K7" s="1142"/>
    </row>
    <row r="8" spans="1:11" x14ac:dyDescent="0.3">
      <c r="A8" s="1113"/>
      <c r="B8" s="1026"/>
      <c r="C8" s="1035"/>
      <c r="D8" s="123"/>
      <c r="E8" s="123"/>
      <c r="F8" s="985"/>
      <c r="G8" s="1008"/>
      <c r="H8" s="1008"/>
      <c r="I8" s="1145"/>
      <c r="J8" s="1145"/>
      <c r="K8" s="1142"/>
    </row>
    <row r="9" spans="1:11" ht="15" thickBot="1" x14ac:dyDescent="0.35">
      <c r="A9" s="1072"/>
      <c r="B9" s="1027"/>
      <c r="C9" s="1036"/>
      <c r="D9" s="80"/>
      <c r="E9" s="53"/>
      <c r="F9" s="1044"/>
      <c r="G9" s="1009"/>
      <c r="H9" s="1009"/>
      <c r="I9" s="1018"/>
      <c r="J9" s="1018"/>
      <c r="K9" s="1138"/>
    </row>
    <row r="10" spans="1:11" ht="15" thickBot="1" x14ac:dyDescent="0.35">
      <c r="A10"/>
      <c r="C10" s="3"/>
      <c r="E10" s="1"/>
      <c r="F10"/>
    </row>
    <row r="11" spans="1:11" x14ac:dyDescent="0.3">
      <c r="A11" s="1101" t="s">
        <v>137</v>
      </c>
      <c r="B11" s="83" t="s">
        <v>138</v>
      </c>
      <c r="C11" s="2"/>
      <c r="D11" s="141" t="s">
        <v>532</v>
      </c>
      <c r="E11" s="92">
        <f>SUM(E12:E13)</f>
        <v>0.12300000000000001</v>
      </c>
      <c r="F11" s="5"/>
      <c r="G11" s="38"/>
      <c r="H11" s="5"/>
      <c r="I11" s="5"/>
      <c r="J11" s="5"/>
      <c r="K11" s="6"/>
    </row>
    <row r="12" spans="1:11" x14ac:dyDescent="0.3">
      <c r="A12" s="1102"/>
      <c r="B12" s="97" t="s">
        <v>1019</v>
      </c>
      <c r="C12" s="69"/>
      <c r="D12" s="159" t="s">
        <v>91</v>
      </c>
      <c r="E12" s="99">
        <v>0.11700000000000001</v>
      </c>
      <c r="F12" s="3"/>
      <c r="G12" s="3"/>
      <c r="K12" s="8"/>
    </row>
    <row r="13" spans="1:11" ht="15" thickBot="1" x14ac:dyDescent="0.35">
      <c r="A13" s="1103"/>
      <c r="B13" s="254" t="s">
        <v>1016</v>
      </c>
      <c r="C13" s="11"/>
      <c r="D13" s="256" t="s">
        <v>253</v>
      </c>
      <c r="E13" s="256">
        <v>6.0000000000000001E-3</v>
      </c>
      <c r="F13" s="11"/>
      <c r="G13" s="9"/>
      <c r="H13" s="9"/>
      <c r="I13" s="9"/>
      <c r="J13" s="9"/>
      <c r="K13" s="10"/>
    </row>
    <row r="14" spans="1:11" x14ac:dyDescent="0.3">
      <c r="A14"/>
      <c r="C14"/>
      <c r="E14"/>
      <c r="F14"/>
    </row>
    <row r="15" spans="1:11" x14ac:dyDescent="0.3">
      <c r="A15"/>
      <c r="C15"/>
      <c r="E15"/>
      <c r="F15"/>
    </row>
    <row r="16" spans="1:11" x14ac:dyDescent="0.3">
      <c r="A16"/>
      <c r="C16"/>
      <c r="E16"/>
      <c r="F16"/>
    </row>
    <row r="17" customFormat="1" x14ac:dyDescent="0.3"/>
    <row r="18" customFormat="1" x14ac:dyDescent="0.3"/>
    <row r="19" customFormat="1" x14ac:dyDescent="0.3"/>
    <row r="20" customFormat="1" x14ac:dyDescent="0.3"/>
    <row r="21" customFormat="1" x14ac:dyDescent="0.3"/>
    <row r="22" customFormat="1" x14ac:dyDescent="0.3"/>
    <row r="23" customFormat="1" x14ac:dyDescent="0.3"/>
    <row r="24" customFormat="1" x14ac:dyDescent="0.3"/>
    <row r="25" customFormat="1" x14ac:dyDescent="0.3"/>
    <row r="26" customFormat="1" x14ac:dyDescent="0.3"/>
    <row r="27" customFormat="1" ht="15" customHeight="1" x14ac:dyDescent="0.3"/>
    <row r="28" customFormat="1" x14ac:dyDescent="0.3"/>
    <row r="29" customFormat="1" x14ac:dyDescent="0.3"/>
    <row r="30" customFormat="1" x14ac:dyDescent="0.3"/>
    <row r="31" customFormat="1" x14ac:dyDescent="0.3"/>
    <row r="32" customFormat="1" x14ac:dyDescent="0.3"/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ht="15" customHeight="1" x14ac:dyDescent="0.3"/>
    <row r="56" customFormat="1" x14ac:dyDescent="0.3"/>
    <row r="57" customFormat="1" x14ac:dyDescent="0.3"/>
    <row r="58" customFormat="1" x14ac:dyDescent="0.3"/>
    <row r="59" customFormat="1" ht="15" customHeight="1" x14ac:dyDescent="0.3"/>
    <row r="60" customFormat="1" x14ac:dyDescent="0.3"/>
    <row r="61" customFormat="1" x14ac:dyDescent="0.3"/>
    <row r="62" customFormat="1" ht="15" customHeigh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ht="15" customHeight="1" x14ac:dyDescent="0.3"/>
    <row r="98" customFormat="1" x14ac:dyDescent="0.3"/>
    <row r="99" customFormat="1" x14ac:dyDescent="0.3"/>
    <row r="100" customFormat="1" ht="15" customHeigh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ht="15" customHeigh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ht="15" customHeight="1" x14ac:dyDescent="0.3"/>
    <row r="129" spans="1:6" customForma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x14ac:dyDescent="0.3"/>
    <row r="134" spans="1:6" customFormat="1" x14ac:dyDescent="0.3"/>
    <row r="135" spans="1:6" x14ac:dyDescent="0.3">
      <c r="A135"/>
      <c r="C135" s="3"/>
      <c r="E135" s="1"/>
      <c r="F135"/>
    </row>
    <row r="136" spans="1:6" x14ac:dyDescent="0.3">
      <c r="A136"/>
      <c r="C136" s="3"/>
      <c r="E136" s="1"/>
      <c r="F136"/>
    </row>
    <row r="137" spans="1:6" x14ac:dyDescent="0.3">
      <c r="A137"/>
      <c r="C137" s="3"/>
      <c r="E137" s="1"/>
      <c r="F137"/>
    </row>
    <row r="138" spans="1:6" x14ac:dyDescent="0.3">
      <c r="A138"/>
      <c r="C138" s="3"/>
      <c r="E138" s="1"/>
      <c r="F138"/>
    </row>
    <row r="139" spans="1:6" x14ac:dyDescent="0.3">
      <c r="A139"/>
      <c r="C139" s="3"/>
      <c r="E139" s="1"/>
      <c r="F139"/>
    </row>
    <row r="140" spans="1:6" x14ac:dyDescent="0.3">
      <c r="A140"/>
      <c r="C140" s="3"/>
      <c r="E140" s="1"/>
      <c r="F140"/>
    </row>
    <row r="141" spans="1:6" x14ac:dyDescent="0.3">
      <c r="A141"/>
      <c r="C141" s="3"/>
      <c r="E141" s="1"/>
      <c r="F141"/>
    </row>
    <row r="142" spans="1:6" x14ac:dyDescent="0.3">
      <c r="A142"/>
      <c r="C142" s="3"/>
      <c r="E142" s="1"/>
      <c r="F142"/>
    </row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ht="15" customHeight="1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ht="15" customHeight="1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</sheetData>
  <mergeCells count="10">
    <mergeCell ref="H4:H9"/>
    <mergeCell ref="I4:I9"/>
    <mergeCell ref="J4:J9"/>
    <mergeCell ref="K4:K9"/>
    <mergeCell ref="A11:A13"/>
    <mergeCell ref="A4:A9"/>
    <mergeCell ref="B4:B9"/>
    <mergeCell ref="C4:C9"/>
    <mergeCell ref="F4:F9"/>
    <mergeCell ref="G4:G9"/>
  </mergeCells>
  <pageMargins left="0.7" right="0.7" top="0.75" bottom="0.75" header="0.3" footer="0.3"/>
  <pageSetup paperSize="9"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 codeName="Feuil22"/>
  <dimension ref="A1:K221"/>
  <sheetViews>
    <sheetView topLeftCell="C1" zoomScale="70" zoomScaleNormal="70" workbookViewId="0">
      <selection activeCell="E4" sqref="E4:E5"/>
    </sheetView>
  </sheetViews>
  <sheetFormatPr baseColWidth="10" defaultColWidth="11.44140625" defaultRowHeight="14.4" x14ac:dyDescent="0.3"/>
  <cols>
    <col min="1" max="1" width="20.10937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36.554687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141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140</v>
      </c>
      <c r="B4" s="1025" t="s">
        <v>141</v>
      </c>
      <c r="C4" s="1034" t="s">
        <v>90</v>
      </c>
      <c r="D4" s="125" t="s">
        <v>234</v>
      </c>
      <c r="E4" s="125">
        <f>SUM(E5:E9)</f>
        <v>0.01</v>
      </c>
      <c r="F4" s="1043"/>
      <c r="G4" s="1007" t="s">
        <v>483</v>
      </c>
      <c r="H4" s="1007" t="s">
        <v>93</v>
      </c>
      <c r="I4" s="1016" t="s">
        <v>94</v>
      </c>
      <c r="J4" s="1016">
        <v>240</v>
      </c>
      <c r="K4" s="1136" t="s">
        <v>30</v>
      </c>
    </row>
    <row r="5" spans="1:11" x14ac:dyDescent="0.3">
      <c r="A5" s="1113"/>
      <c r="B5" s="1026"/>
      <c r="C5" s="1035"/>
      <c r="D5" s="198" t="s">
        <v>91</v>
      </c>
      <c r="E5" s="72">
        <f>SUM(E12)</f>
        <v>0.01</v>
      </c>
      <c r="F5" s="985"/>
      <c r="G5" s="1008"/>
      <c r="H5" s="1008"/>
      <c r="I5" s="1017"/>
      <c r="J5" s="1017"/>
      <c r="K5" s="1137"/>
    </row>
    <row r="6" spans="1:11" x14ac:dyDescent="0.3">
      <c r="A6" s="1113"/>
      <c r="B6" s="1026"/>
      <c r="C6" s="1035"/>
      <c r="D6" s="123"/>
      <c r="E6" s="123"/>
      <c r="F6" s="985"/>
      <c r="G6" s="1008"/>
      <c r="H6" s="1008"/>
      <c r="I6" s="1145"/>
      <c r="J6" s="1145"/>
      <c r="K6" s="1142"/>
    </row>
    <row r="7" spans="1:11" x14ac:dyDescent="0.3">
      <c r="A7" s="1113"/>
      <c r="B7" s="1026"/>
      <c r="C7" s="1035"/>
      <c r="D7" s="123"/>
      <c r="E7" s="123"/>
      <c r="F7" s="985"/>
      <c r="G7" s="1008"/>
      <c r="H7" s="1008"/>
      <c r="I7" s="1145"/>
      <c r="J7" s="1145"/>
      <c r="K7" s="1142"/>
    </row>
    <row r="8" spans="1:11" x14ac:dyDescent="0.3">
      <c r="A8" s="1113"/>
      <c r="B8" s="1026"/>
      <c r="C8" s="1035"/>
      <c r="D8" s="123"/>
      <c r="E8" s="123"/>
      <c r="F8" s="985"/>
      <c r="G8" s="1008"/>
      <c r="H8" s="1008"/>
      <c r="I8" s="1145"/>
      <c r="J8" s="1145"/>
      <c r="K8" s="1142"/>
    </row>
    <row r="9" spans="1:11" ht="15" thickBot="1" x14ac:dyDescent="0.35">
      <c r="A9" s="1072"/>
      <c r="B9" s="1027"/>
      <c r="C9" s="1036"/>
      <c r="D9" s="80"/>
      <c r="E9" s="53"/>
      <c r="F9" s="1044"/>
      <c r="G9" s="1009"/>
      <c r="H9" s="1009"/>
      <c r="I9" s="1018"/>
      <c r="J9" s="1018"/>
      <c r="K9" s="1138"/>
    </row>
    <row r="10" spans="1:11" ht="15" thickBot="1" x14ac:dyDescent="0.35">
      <c r="A10"/>
      <c r="C10" s="3"/>
      <c r="E10" s="1"/>
      <c r="F10"/>
    </row>
    <row r="11" spans="1:11" x14ac:dyDescent="0.3">
      <c r="A11" s="1071" t="s">
        <v>140</v>
      </c>
      <c r="B11" s="83" t="s">
        <v>141</v>
      </c>
      <c r="C11" s="2"/>
      <c r="D11" s="141" t="s">
        <v>532</v>
      </c>
      <c r="E11" s="92">
        <f>SUM(E12:E12)</f>
        <v>0.01</v>
      </c>
      <c r="F11" s="5"/>
      <c r="G11" s="38"/>
      <c r="H11" s="5"/>
      <c r="I11" s="5"/>
      <c r="J11" s="5"/>
      <c r="K11" s="6"/>
    </row>
    <row r="12" spans="1:11" ht="15" thickBot="1" x14ac:dyDescent="0.35">
      <c r="A12" s="1072"/>
      <c r="B12" s="283" t="s">
        <v>1019</v>
      </c>
      <c r="C12" s="284"/>
      <c r="D12" s="285" t="s">
        <v>91</v>
      </c>
      <c r="E12" s="286">
        <v>0.01</v>
      </c>
      <c r="F12" s="11"/>
      <c r="G12" s="11"/>
      <c r="H12" s="9"/>
      <c r="I12" s="9"/>
      <c r="J12" s="9"/>
      <c r="K12" s="10"/>
    </row>
    <row r="13" spans="1:11" x14ac:dyDescent="0.3">
      <c r="A13"/>
      <c r="C13"/>
      <c r="E13"/>
      <c r="F13"/>
    </row>
    <row r="14" spans="1:11" x14ac:dyDescent="0.3">
      <c r="A14"/>
      <c r="C14"/>
      <c r="E14"/>
      <c r="F14"/>
    </row>
    <row r="15" spans="1:11" x14ac:dyDescent="0.3">
      <c r="A15"/>
      <c r="C15"/>
      <c r="E15"/>
      <c r="F15"/>
    </row>
    <row r="16" spans="1:11" x14ac:dyDescent="0.3">
      <c r="A16"/>
      <c r="C16"/>
      <c r="E16"/>
      <c r="F16"/>
    </row>
    <row r="17" customFormat="1" x14ac:dyDescent="0.3"/>
    <row r="18" customFormat="1" x14ac:dyDescent="0.3"/>
    <row r="19" customFormat="1" x14ac:dyDescent="0.3"/>
    <row r="20" customFormat="1" x14ac:dyDescent="0.3"/>
    <row r="21" customFormat="1" x14ac:dyDescent="0.3"/>
    <row r="22" customFormat="1" x14ac:dyDescent="0.3"/>
    <row r="23" customFormat="1" x14ac:dyDescent="0.3"/>
    <row r="24" customFormat="1" x14ac:dyDescent="0.3"/>
    <row r="25" customFormat="1" x14ac:dyDescent="0.3"/>
    <row r="26" customFormat="1" ht="15" customHeight="1" x14ac:dyDescent="0.3"/>
    <row r="27" customFormat="1" x14ac:dyDescent="0.3"/>
    <row r="28" customFormat="1" x14ac:dyDescent="0.3"/>
    <row r="29" customFormat="1" x14ac:dyDescent="0.3"/>
    <row r="30" customFormat="1" x14ac:dyDescent="0.3"/>
    <row r="31" customFormat="1" x14ac:dyDescent="0.3"/>
    <row r="32" customFormat="1" x14ac:dyDescent="0.3"/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ht="15" customHeight="1" x14ac:dyDescent="0.3"/>
    <row r="55" customFormat="1" x14ac:dyDescent="0.3"/>
    <row r="56" customFormat="1" x14ac:dyDescent="0.3"/>
    <row r="57" customFormat="1" x14ac:dyDescent="0.3"/>
    <row r="58" customFormat="1" ht="15" customHeight="1" x14ac:dyDescent="0.3"/>
    <row r="59" customFormat="1" x14ac:dyDescent="0.3"/>
    <row r="60" customFormat="1" x14ac:dyDescent="0.3"/>
    <row r="61" customFormat="1" ht="15" customHeigh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ht="15" customHeight="1" x14ac:dyDescent="0.3"/>
    <row r="97" customFormat="1" x14ac:dyDescent="0.3"/>
    <row r="98" customFormat="1" x14ac:dyDescent="0.3"/>
    <row r="99" customFormat="1" ht="15" customHeigh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ht="15" customHeigh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ht="15" customHeight="1" x14ac:dyDescent="0.3"/>
    <row r="128" customFormat="1" x14ac:dyDescent="0.3"/>
    <row r="129" spans="1:6" customForma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x14ac:dyDescent="0.3"/>
    <row r="134" spans="1:6" x14ac:dyDescent="0.3">
      <c r="A134"/>
      <c r="C134" s="3"/>
      <c r="E134" s="1"/>
      <c r="F134"/>
    </row>
    <row r="135" spans="1:6" x14ac:dyDescent="0.3">
      <c r="A135"/>
      <c r="C135" s="3"/>
      <c r="E135" s="1"/>
      <c r="F135"/>
    </row>
    <row r="136" spans="1:6" x14ac:dyDescent="0.3">
      <c r="A136"/>
      <c r="C136" s="3"/>
      <c r="E136" s="1"/>
      <c r="F136"/>
    </row>
    <row r="137" spans="1:6" x14ac:dyDescent="0.3">
      <c r="A137"/>
      <c r="C137" s="3"/>
      <c r="E137" s="1"/>
      <c r="F137"/>
    </row>
    <row r="138" spans="1:6" x14ac:dyDescent="0.3">
      <c r="A138"/>
      <c r="C138" s="3"/>
      <c r="E138" s="1"/>
      <c r="F138"/>
    </row>
    <row r="139" spans="1:6" x14ac:dyDescent="0.3">
      <c r="A139"/>
      <c r="C139" s="3"/>
      <c r="E139" s="1"/>
      <c r="F139"/>
    </row>
    <row r="140" spans="1:6" x14ac:dyDescent="0.3">
      <c r="A140"/>
      <c r="C140" s="3"/>
      <c r="E140" s="1"/>
      <c r="F140"/>
    </row>
    <row r="141" spans="1:6" x14ac:dyDescent="0.3">
      <c r="A141"/>
      <c r="C141" s="3"/>
      <c r="E141" s="1"/>
      <c r="F141"/>
    </row>
    <row r="142" spans="1:6" x14ac:dyDescent="0.3">
      <c r="A142"/>
      <c r="C142" s="3"/>
      <c r="E142" s="1"/>
      <c r="F142"/>
    </row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ht="15" customHeight="1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ht="15" customHeight="1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</sheetData>
  <mergeCells count="10">
    <mergeCell ref="H4:H9"/>
    <mergeCell ref="I4:I9"/>
    <mergeCell ref="J4:J9"/>
    <mergeCell ref="K4:K9"/>
    <mergeCell ref="A11:A12"/>
    <mergeCell ref="A4:A9"/>
    <mergeCell ref="B4:B9"/>
    <mergeCell ref="C4:C9"/>
    <mergeCell ref="F4:F9"/>
    <mergeCell ref="G4:G9"/>
  </mergeCells>
  <pageMargins left="0.7" right="0.7" top="0.75" bottom="0.75" header="0.3" footer="0.3"/>
  <pageSetup paperSize="9" orientation="portrait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 codeName="Feuil23"/>
  <dimension ref="A1:K222"/>
  <sheetViews>
    <sheetView topLeftCell="E1" zoomScale="85" zoomScaleNormal="85" workbookViewId="0">
      <selection activeCell="E4" sqref="E4:E5"/>
    </sheetView>
  </sheetViews>
  <sheetFormatPr baseColWidth="10" defaultColWidth="11.44140625" defaultRowHeight="14.4" x14ac:dyDescent="0.3"/>
  <cols>
    <col min="1" max="1" width="20.10937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36.554687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143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142</v>
      </c>
      <c r="B4" s="1025" t="s">
        <v>143</v>
      </c>
      <c r="C4" s="1034" t="s">
        <v>90</v>
      </c>
      <c r="D4" s="289" t="s">
        <v>234</v>
      </c>
      <c r="E4" s="125">
        <f>SUM(E5:E9)</f>
        <v>6.9000000000000006E-2</v>
      </c>
      <c r="F4" s="1043"/>
      <c r="G4" s="1007" t="s">
        <v>483</v>
      </c>
      <c r="H4" s="1007" t="s">
        <v>93</v>
      </c>
      <c r="I4" s="1016" t="s">
        <v>94</v>
      </c>
      <c r="J4" s="1016">
        <v>240</v>
      </c>
      <c r="K4" s="1173"/>
    </row>
    <row r="5" spans="1:11" x14ac:dyDescent="0.3">
      <c r="A5" s="1113"/>
      <c r="B5" s="1026"/>
      <c r="C5" s="1035"/>
      <c r="D5" s="290" t="s">
        <v>335</v>
      </c>
      <c r="E5" s="292">
        <f>SUM(E12:E13)</f>
        <v>6.9000000000000006E-2</v>
      </c>
      <c r="F5" s="985"/>
      <c r="G5" s="1008"/>
      <c r="H5" s="1008"/>
      <c r="I5" s="1017"/>
      <c r="J5" s="1017"/>
      <c r="K5" s="1174"/>
    </row>
    <row r="6" spans="1:11" x14ac:dyDescent="0.3">
      <c r="A6" s="1113"/>
      <c r="B6" s="1026"/>
      <c r="C6" s="1035"/>
      <c r="D6" s="291"/>
      <c r="E6" s="123"/>
      <c r="F6" s="985"/>
      <c r="G6" s="1008"/>
      <c r="H6" s="1008"/>
      <c r="I6" s="1145"/>
      <c r="J6" s="1145"/>
      <c r="K6" s="1175"/>
    </row>
    <row r="7" spans="1:11" x14ac:dyDescent="0.3">
      <c r="A7" s="1113"/>
      <c r="B7" s="1026"/>
      <c r="C7" s="1035"/>
      <c r="D7" s="291"/>
      <c r="E7" s="123"/>
      <c r="F7" s="985"/>
      <c r="G7" s="1008"/>
      <c r="H7" s="1008"/>
      <c r="I7" s="1145"/>
      <c r="J7" s="1145"/>
      <c r="K7" s="1175"/>
    </row>
    <row r="8" spans="1:11" x14ac:dyDescent="0.3">
      <c r="A8" s="1113"/>
      <c r="B8" s="1026"/>
      <c r="C8" s="1035"/>
      <c r="D8" s="291"/>
      <c r="E8" s="123"/>
      <c r="F8" s="985"/>
      <c r="G8" s="1008"/>
      <c r="H8" s="1008"/>
      <c r="I8" s="1145"/>
      <c r="J8" s="1145"/>
      <c r="K8" s="1175"/>
    </row>
    <row r="9" spans="1:11" ht="15" thickBot="1" x14ac:dyDescent="0.35">
      <c r="A9" s="1072"/>
      <c r="B9" s="1027"/>
      <c r="C9" s="1036"/>
      <c r="D9" s="52"/>
      <c r="E9" s="53"/>
      <c r="F9" s="1044"/>
      <c r="G9" s="1009"/>
      <c r="H9" s="1009"/>
      <c r="I9" s="1018"/>
      <c r="J9" s="1018"/>
      <c r="K9" s="1176"/>
    </row>
    <row r="10" spans="1:11" ht="15" thickBot="1" x14ac:dyDescent="0.35">
      <c r="A10"/>
      <c r="C10" s="3"/>
      <c r="E10" s="1"/>
      <c r="F10"/>
    </row>
    <row r="11" spans="1:11" x14ac:dyDescent="0.3">
      <c r="A11" s="1071" t="s">
        <v>142</v>
      </c>
      <c r="B11" s="83" t="s">
        <v>143</v>
      </c>
      <c r="C11" s="2"/>
      <c r="D11" s="141" t="s">
        <v>532</v>
      </c>
      <c r="E11" s="293">
        <f>SUM(E12:E13)</f>
        <v>6.9000000000000006E-2</v>
      </c>
      <c r="F11" s="5"/>
      <c r="G11" s="38"/>
      <c r="H11" s="5"/>
      <c r="I11" s="5"/>
      <c r="J11" s="5"/>
      <c r="K11" s="6"/>
    </row>
    <row r="12" spans="1:11" x14ac:dyDescent="0.3">
      <c r="A12" s="1113"/>
      <c r="B12" s="288" t="s">
        <v>1020</v>
      </c>
      <c r="C12" s="69"/>
      <c r="D12" s="292" t="s">
        <v>335</v>
      </c>
      <c r="E12" s="292">
        <v>5.2999999999999999E-2</v>
      </c>
      <c r="F12" s="3"/>
      <c r="G12" s="3"/>
      <c r="K12" s="8"/>
    </row>
    <row r="13" spans="1:11" ht="15" thickBot="1" x14ac:dyDescent="0.35">
      <c r="A13" s="1072"/>
      <c r="B13" s="287" t="s">
        <v>1019</v>
      </c>
      <c r="C13" s="284"/>
      <c r="D13" s="294" t="s">
        <v>335</v>
      </c>
      <c r="E13" s="294">
        <v>1.6E-2</v>
      </c>
      <c r="F13" s="11"/>
      <c r="G13" s="11"/>
      <c r="H13" s="9"/>
      <c r="I13" s="9"/>
      <c r="J13" s="9"/>
      <c r="K13" s="10"/>
    </row>
    <row r="14" spans="1:11" x14ac:dyDescent="0.3">
      <c r="A14"/>
      <c r="C14"/>
      <c r="E14"/>
      <c r="F14"/>
    </row>
    <row r="15" spans="1:11" x14ac:dyDescent="0.3">
      <c r="A15"/>
      <c r="C15"/>
      <c r="E15"/>
      <c r="F15"/>
    </row>
    <row r="16" spans="1:11" x14ac:dyDescent="0.3">
      <c r="A16"/>
      <c r="C16"/>
      <c r="E16"/>
      <c r="F16"/>
    </row>
    <row r="17" customFormat="1" x14ac:dyDescent="0.3"/>
    <row r="18" customFormat="1" x14ac:dyDescent="0.3"/>
    <row r="19" customFormat="1" x14ac:dyDescent="0.3"/>
    <row r="20" customFormat="1" x14ac:dyDescent="0.3"/>
    <row r="21" customFormat="1" x14ac:dyDescent="0.3"/>
    <row r="22" customFormat="1" x14ac:dyDescent="0.3"/>
    <row r="23" customFormat="1" x14ac:dyDescent="0.3"/>
    <row r="24" customFormat="1" x14ac:dyDescent="0.3"/>
    <row r="25" customFormat="1" x14ac:dyDescent="0.3"/>
    <row r="26" customFormat="1" x14ac:dyDescent="0.3"/>
    <row r="27" customFormat="1" ht="15" customHeight="1" x14ac:dyDescent="0.3"/>
    <row r="28" customFormat="1" x14ac:dyDescent="0.3"/>
    <row r="29" customFormat="1" x14ac:dyDescent="0.3"/>
    <row r="30" customFormat="1" x14ac:dyDescent="0.3"/>
    <row r="31" customFormat="1" x14ac:dyDescent="0.3"/>
    <row r="32" customFormat="1" x14ac:dyDescent="0.3"/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ht="15" customHeight="1" x14ac:dyDescent="0.3"/>
    <row r="56" customFormat="1" x14ac:dyDescent="0.3"/>
    <row r="57" customFormat="1" x14ac:dyDescent="0.3"/>
    <row r="58" customFormat="1" x14ac:dyDescent="0.3"/>
    <row r="59" customFormat="1" ht="15" customHeight="1" x14ac:dyDescent="0.3"/>
    <row r="60" customFormat="1" x14ac:dyDescent="0.3"/>
    <row r="61" customFormat="1" x14ac:dyDescent="0.3"/>
    <row r="62" customFormat="1" ht="15" customHeigh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ht="15" customHeight="1" x14ac:dyDescent="0.3"/>
    <row r="98" customFormat="1" x14ac:dyDescent="0.3"/>
    <row r="99" customFormat="1" x14ac:dyDescent="0.3"/>
    <row r="100" customFormat="1" ht="15" customHeigh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ht="15" customHeigh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ht="15" customHeight="1" x14ac:dyDescent="0.3"/>
    <row r="129" spans="1:6" customForma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x14ac:dyDescent="0.3"/>
    <row r="134" spans="1:6" customFormat="1" x14ac:dyDescent="0.3"/>
    <row r="135" spans="1:6" x14ac:dyDescent="0.3">
      <c r="A135"/>
      <c r="C135" s="3"/>
      <c r="E135" s="1"/>
      <c r="F135"/>
    </row>
    <row r="136" spans="1:6" x14ac:dyDescent="0.3">
      <c r="A136"/>
      <c r="C136" s="3"/>
      <c r="E136" s="1"/>
      <c r="F136"/>
    </row>
    <row r="137" spans="1:6" x14ac:dyDescent="0.3">
      <c r="A137"/>
      <c r="C137" s="3"/>
      <c r="E137" s="1"/>
      <c r="F137"/>
    </row>
    <row r="138" spans="1:6" x14ac:dyDescent="0.3">
      <c r="A138"/>
      <c r="C138" s="3"/>
      <c r="E138" s="1"/>
      <c r="F138"/>
    </row>
    <row r="139" spans="1:6" x14ac:dyDescent="0.3">
      <c r="A139"/>
      <c r="C139" s="3"/>
      <c r="E139" s="1"/>
      <c r="F139"/>
    </row>
    <row r="140" spans="1:6" x14ac:dyDescent="0.3">
      <c r="A140"/>
      <c r="C140" s="3"/>
      <c r="E140" s="1"/>
      <c r="F140"/>
    </row>
    <row r="141" spans="1:6" x14ac:dyDescent="0.3">
      <c r="A141"/>
      <c r="C141" s="3"/>
      <c r="E141" s="1"/>
      <c r="F141"/>
    </row>
    <row r="142" spans="1:6" x14ac:dyDescent="0.3">
      <c r="A142"/>
      <c r="C142" s="3"/>
      <c r="E142" s="1"/>
      <c r="F142"/>
    </row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ht="15" customHeight="1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ht="15" customHeight="1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</sheetData>
  <mergeCells count="10">
    <mergeCell ref="H4:H9"/>
    <mergeCell ref="I4:I9"/>
    <mergeCell ref="J4:J9"/>
    <mergeCell ref="K4:K9"/>
    <mergeCell ref="A11:A13"/>
    <mergeCell ref="A4:A9"/>
    <mergeCell ref="B4:B9"/>
    <mergeCell ref="C4:C9"/>
    <mergeCell ref="F4:F9"/>
    <mergeCell ref="G4:G9"/>
  </mergeCells>
  <pageMargins left="0.7" right="0.7" top="0.75" bottom="0.75" header="0.3" footer="0.3"/>
  <pageSetup paperSize="9"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 codeName="Feuil25"/>
  <dimension ref="A1:O316"/>
  <sheetViews>
    <sheetView topLeftCell="C1" zoomScale="55" zoomScaleNormal="55" workbookViewId="0">
      <selection activeCell="E4" sqref="E4:J12"/>
    </sheetView>
  </sheetViews>
  <sheetFormatPr baseColWidth="10" defaultColWidth="11.44140625" defaultRowHeight="14.4" x14ac:dyDescent="0.3"/>
  <cols>
    <col min="1" max="1" width="20.109375" style="29" customWidth="1"/>
    <col min="2" max="2" width="88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26" style="1" bestFit="1" customWidth="1"/>
    <col min="7" max="7" width="21.6640625" bestFit="1" customWidth="1"/>
    <col min="8" max="8" width="16.88671875" bestFit="1" customWidth="1"/>
    <col min="9" max="9" width="12" bestFit="1" customWidth="1"/>
    <col min="10" max="10" width="30.109375" bestFit="1" customWidth="1"/>
    <col min="11" max="11" width="36" bestFit="1" customWidth="1"/>
    <col min="12" max="12" width="20.109375" bestFit="1" customWidth="1"/>
    <col min="13" max="13" width="36.5546875" bestFit="1" customWidth="1"/>
    <col min="14" max="14" width="45.109375" bestFit="1" customWidth="1"/>
    <col min="15" max="15" width="16" customWidth="1"/>
  </cols>
  <sheetData>
    <row r="1" spans="1:15" ht="15" thickBot="1" x14ac:dyDescent="0.35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720" t="s">
        <v>529</v>
      </c>
      <c r="G1" s="1143" t="s">
        <v>530</v>
      </c>
      <c r="H1" s="1091"/>
      <c r="I1" s="1091"/>
      <c r="J1" s="1144"/>
      <c r="K1" s="30" t="s">
        <v>11</v>
      </c>
      <c r="L1" s="30" t="s">
        <v>12</v>
      </c>
      <c r="M1" s="30" t="s">
        <v>13</v>
      </c>
      <c r="N1" s="30" t="s">
        <v>16</v>
      </c>
      <c r="O1" s="30" t="s">
        <v>17</v>
      </c>
    </row>
    <row r="2" spans="1:15" ht="15" thickBot="1" x14ac:dyDescent="0.35">
      <c r="A2" s="31"/>
      <c r="B2" s="113" t="s">
        <v>145</v>
      </c>
      <c r="C2" s="49"/>
      <c r="D2" s="34"/>
      <c r="E2" s="33"/>
      <c r="F2" s="720" t="s">
        <v>402</v>
      </c>
      <c r="G2" s="747" t="s">
        <v>530</v>
      </c>
      <c r="H2" s="636" t="s">
        <v>404</v>
      </c>
      <c r="I2" s="747" t="s">
        <v>406</v>
      </c>
      <c r="J2" s="742" t="s">
        <v>407</v>
      </c>
      <c r="K2" s="34"/>
      <c r="L2" s="34"/>
      <c r="M2" s="34"/>
      <c r="N2" s="34"/>
      <c r="O2" s="34"/>
    </row>
    <row r="3" spans="1:15" ht="15" customHeight="1" thickBot="1" x14ac:dyDescent="0.35"/>
    <row r="4" spans="1:15" ht="15.75" customHeight="1" thickBot="1" x14ac:dyDescent="0.35">
      <c r="A4" s="1071" t="s">
        <v>144</v>
      </c>
      <c r="B4" s="1025" t="s">
        <v>145</v>
      </c>
      <c r="C4" s="1034" t="s">
        <v>90</v>
      </c>
      <c r="D4" s="289" t="s">
        <v>234</v>
      </c>
      <c r="E4" s="125">
        <f>SUM(E5:E13)</f>
        <v>5.0662984199999972</v>
      </c>
      <c r="F4" s="702">
        <f>SUM(F5)</f>
        <v>15.082000000000001</v>
      </c>
      <c r="G4" s="702"/>
      <c r="H4" s="702">
        <f>SUM(H5)</f>
        <v>17.63</v>
      </c>
      <c r="I4" s="702">
        <f>SUM(I5)</f>
        <v>0.14799999999999999</v>
      </c>
      <c r="J4" s="706"/>
      <c r="K4" s="1007" t="s">
        <v>483</v>
      </c>
      <c r="L4" s="1007" t="s">
        <v>66</v>
      </c>
      <c r="M4" s="1016" t="s">
        <v>67</v>
      </c>
      <c r="N4" s="1016">
        <v>295</v>
      </c>
      <c r="O4" s="1136" t="s">
        <v>30</v>
      </c>
    </row>
    <row r="5" spans="1:15" ht="15" thickBot="1" x14ac:dyDescent="0.35">
      <c r="A5" s="1113"/>
      <c r="B5" s="1026"/>
      <c r="C5" s="1035"/>
      <c r="D5" s="295" t="s">
        <v>60</v>
      </c>
      <c r="E5" s="296">
        <f>SUM(E17:E44)</f>
        <v>3.541011699999999</v>
      </c>
      <c r="F5" s="756">
        <f>SUM(F17:F44)</f>
        <v>15.082000000000001</v>
      </c>
      <c r="G5" s="756"/>
      <c r="H5" s="756">
        <f>SUM(H17:H44)</f>
        <v>17.63</v>
      </c>
      <c r="I5" s="756">
        <f>SUM(I17:I44)</f>
        <v>0.14799999999999999</v>
      </c>
      <c r="J5" s="756" t="s">
        <v>51</v>
      </c>
      <c r="K5" s="1008"/>
      <c r="L5" s="1008"/>
      <c r="M5" s="1017"/>
      <c r="N5" s="1017"/>
      <c r="O5" s="1137"/>
    </row>
    <row r="6" spans="1:15" x14ac:dyDescent="0.3">
      <c r="A6" s="1113"/>
      <c r="B6" s="1026"/>
      <c r="C6" s="1035"/>
      <c r="D6" s="317" t="s">
        <v>244</v>
      </c>
      <c r="E6" s="312">
        <f>SUM(E45:E51)</f>
        <v>2.7E-2</v>
      </c>
      <c r="F6" s="694"/>
      <c r="G6" s="662"/>
      <c r="H6" s="662"/>
      <c r="I6" s="662"/>
      <c r="J6" s="8"/>
      <c r="K6" s="1008"/>
      <c r="L6" s="1008"/>
      <c r="M6" s="1145"/>
      <c r="N6" s="1145"/>
      <c r="O6" s="1142"/>
    </row>
    <row r="7" spans="1:15" x14ac:dyDescent="0.3">
      <c r="A7" s="1113"/>
      <c r="B7" s="1026"/>
      <c r="C7" s="1035"/>
      <c r="D7" s="316" t="s">
        <v>253</v>
      </c>
      <c r="E7" s="319">
        <f>SUM(E52:E96)</f>
        <v>1.4326470999999981</v>
      </c>
      <c r="F7" s="694"/>
      <c r="G7" s="662"/>
      <c r="H7" s="662"/>
      <c r="I7" s="662"/>
      <c r="J7" s="8"/>
      <c r="K7" s="1008"/>
      <c r="L7" s="1008"/>
      <c r="M7" s="1145"/>
      <c r="N7" s="1145"/>
      <c r="O7" s="1142"/>
    </row>
    <row r="8" spans="1:15" x14ac:dyDescent="0.3">
      <c r="A8" s="1113"/>
      <c r="B8" s="1026"/>
      <c r="C8" s="1035"/>
      <c r="D8" s="320" t="s">
        <v>270</v>
      </c>
      <c r="E8" s="186">
        <f>SUM(E97:E99)</f>
        <v>2.9000000000000001E-2</v>
      </c>
      <c r="F8" s="694"/>
      <c r="G8" s="662"/>
      <c r="H8" s="662"/>
      <c r="I8" s="662"/>
      <c r="J8" s="8"/>
      <c r="K8" s="1008"/>
      <c r="L8" s="1008"/>
      <c r="M8" s="1145"/>
      <c r="N8" s="1145"/>
      <c r="O8" s="1142"/>
    </row>
    <row r="9" spans="1:15" x14ac:dyDescent="0.3">
      <c r="A9" s="1113"/>
      <c r="B9" s="1026"/>
      <c r="C9" s="1035"/>
      <c r="D9" s="321" t="s">
        <v>248</v>
      </c>
      <c r="E9" s="322">
        <f>SUM(E100:E103)</f>
        <v>1.45416E-2</v>
      </c>
      <c r="F9" s="694"/>
      <c r="G9" s="662"/>
      <c r="H9" s="662"/>
      <c r="I9" s="662"/>
      <c r="J9" s="8"/>
      <c r="K9" s="1008"/>
      <c r="L9" s="1008"/>
      <c r="M9" s="1145"/>
      <c r="N9" s="1145"/>
      <c r="O9" s="1142"/>
    </row>
    <row r="10" spans="1:15" x14ac:dyDescent="0.3">
      <c r="A10" s="1113"/>
      <c r="B10" s="1026"/>
      <c r="C10" s="1035"/>
      <c r="D10" s="318" t="s">
        <v>240</v>
      </c>
      <c r="E10" s="330">
        <f>SUM(E104:E105)</f>
        <v>1.0098020000000001E-2</v>
      </c>
      <c r="F10" s="694"/>
      <c r="G10" s="662"/>
      <c r="H10" s="662"/>
      <c r="I10" s="662"/>
      <c r="J10" s="8"/>
      <c r="K10" s="1008"/>
      <c r="L10" s="1008"/>
      <c r="M10" s="1145"/>
      <c r="N10" s="1145"/>
      <c r="O10" s="1142"/>
    </row>
    <row r="11" spans="1:15" x14ac:dyDescent="0.3">
      <c r="A11" s="1113"/>
      <c r="B11" s="1026"/>
      <c r="C11" s="1035"/>
      <c r="D11" s="512" t="s">
        <v>279</v>
      </c>
      <c r="E11" s="513">
        <f>SUM(E106)</f>
        <v>2E-3</v>
      </c>
      <c r="F11" s="694"/>
      <c r="G11" s="662"/>
      <c r="H11" s="662"/>
      <c r="I11" s="662"/>
      <c r="J11" s="8"/>
      <c r="K11" s="1008"/>
      <c r="L11" s="1008"/>
      <c r="M11" s="1145"/>
      <c r="N11" s="1145"/>
      <c r="O11" s="1142"/>
    </row>
    <row r="12" spans="1:15" x14ac:dyDescent="0.3">
      <c r="A12" s="1113"/>
      <c r="B12" s="1026"/>
      <c r="C12" s="1035"/>
      <c r="D12" s="511" t="s">
        <v>277</v>
      </c>
      <c r="E12" s="441">
        <f>SUM(E107)</f>
        <v>0.01</v>
      </c>
      <c r="F12" s="694"/>
      <c r="G12" s="662"/>
      <c r="H12" s="662"/>
      <c r="I12" s="662"/>
      <c r="J12" s="8"/>
      <c r="K12" s="1008"/>
      <c r="L12" s="1008"/>
      <c r="M12" s="1145"/>
      <c r="N12" s="1145"/>
      <c r="O12" s="1142"/>
    </row>
    <row r="13" spans="1:15" ht="15" thickBot="1" x14ac:dyDescent="0.35">
      <c r="A13" s="1072"/>
      <c r="B13" s="1027"/>
      <c r="C13" s="1036"/>
      <c r="D13" s="52"/>
      <c r="E13" s="53"/>
      <c r="F13" s="695"/>
      <c r="G13" s="91"/>
      <c r="H13" s="91"/>
      <c r="I13" s="91"/>
      <c r="J13" s="10"/>
      <c r="K13" s="1009"/>
      <c r="L13" s="1009"/>
      <c r="M13" s="1018"/>
      <c r="N13" s="1018"/>
      <c r="O13" s="1138"/>
    </row>
    <row r="14" spans="1:15" x14ac:dyDescent="0.3">
      <c r="A14" s="271"/>
      <c r="B14" s="161"/>
      <c r="C14" s="161"/>
      <c r="E14" s="1"/>
      <c r="K14" s="142"/>
      <c r="L14" s="142"/>
      <c r="M14" s="142"/>
      <c r="N14" s="142"/>
      <c r="O14" s="1"/>
    </row>
    <row r="15" spans="1:15" ht="15" thickBot="1" x14ac:dyDescent="0.35">
      <c r="A15"/>
      <c r="C15" s="3"/>
      <c r="E15" s="1"/>
    </row>
    <row r="16" spans="1:15" ht="15" thickBot="1" x14ac:dyDescent="0.35">
      <c r="A16" s="1071" t="s">
        <v>144</v>
      </c>
      <c r="B16" s="83" t="s">
        <v>145</v>
      </c>
      <c r="C16" s="2"/>
      <c r="D16" s="141" t="s">
        <v>532</v>
      </c>
      <c r="E16" s="293">
        <f>SUM(E17:E107)</f>
        <v>5.0662984199999945</v>
      </c>
      <c r="F16" s="735" t="s">
        <v>402</v>
      </c>
      <c r="G16" s="735" t="s">
        <v>530</v>
      </c>
      <c r="H16" s="735" t="s">
        <v>404</v>
      </c>
      <c r="I16" s="735" t="s">
        <v>406</v>
      </c>
      <c r="J16" s="735" t="s">
        <v>407</v>
      </c>
      <c r="K16" s="38"/>
      <c r="L16" s="5"/>
      <c r="M16" s="5"/>
      <c r="N16" s="5"/>
      <c r="O16" s="6"/>
    </row>
    <row r="17" spans="1:15" ht="15" thickBot="1" x14ac:dyDescent="0.35">
      <c r="A17" s="1113"/>
      <c r="B17" s="183" t="s">
        <v>1021</v>
      </c>
      <c r="C17" s="3"/>
      <c r="D17" s="1155" t="s">
        <v>60</v>
      </c>
      <c r="E17" s="297">
        <v>0.72099999999999997</v>
      </c>
      <c r="F17" s="756">
        <f>SUM(H17-E17)</f>
        <v>4.2080000000000002</v>
      </c>
      <c r="G17" s="756" t="s">
        <v>1022</v>
      </c>
      <c r="H17" s="756">
        <v>4.9290000000000003</v>
      </c>
      <c r="I17" s="756">
        <v>0.01</v>
      </c>
      <c r="J17" s="756" t="s">
        <v>51</v>
      </c>
      <c r="K17" s="17"/>
      <c r="O17" s="8"/>
    </row>
    <row r="18" spans="1:15" ht="15" thickBot="1" x14ac:dyDescent="0.35">
      <c r="A18" s="1113"/>
      <c r="B18" s="183" t="s">
        <v>1023</v>
      </c>
      <c r="C18" s="3"/>
      <c r="D18" s="1155"/>
      <c r="E18" s="297">
        <v>1.6E-2</v>
      </c>
      <c r="F18"/>
      <c r="K18" s="17"/>
      <c r="O18" s="8"/>
    </row>
    <row r="19" spans="1:15" ht="15" thickBot="1" x14ac:dyDescent="0.35">
      <c r="A19" s="1113"/>
      <c r="B19" s="183" t="s">
        <v>1024</v>
      </c>
      <c r="C19" s="3"/>
      <c r="D19" s="1155"/>
      <c r="E19" s="297">
        <v>0.254</v>
      </c>
      <c r="F19" s="756">
        <f>SUM(H19-E19)</f>
        <v>0.627</v>
      </c>
      <c r="G19" s="756" t="s">
        <v>1025</v>
      </c>
      <c r="H19" s="756">
        <v>0.88100000000000001</v>
      </c>
      <c r="I19" s="756">
        <v>1.4E-2</v>
      </c>
      <c r="J19" s="756" t="s">
        <v>51</v>
      </c>
      <c r="K19" s="17"/>
      <c r="O19" s="8"/>
    </row>
    <row r="20" spans="1:15" ht="15" thickBot="1" x14ac:dyDescent="0.35">
      <c r="A20" s="1113"/>
      <c r="B20" s="183" t="s">
        <v>1026</v>
      </c>
      <c r="C20" s="3"/>
      <c r="D20" s="1155"/>
      <c r="E20" s="297">
        <v>1.4999999999999999E-2</v>
      </c>
      <c r="F20"/>
      <c r="K20" s="17"/>
      <c r="O20" s="8"/>
    </row>
    <row r="21" spans="1:15" ht="15" thickBot="1" x14ac:dyDescent="0.35">
      <c r="A21" s="1113"/>
      <c r="B21" s="183" t="s">
        <v>1027</v>
      </c>
      <c r="C21" s="3"/>
      <c r="D21" s="1155"/>
      <c r="E21" s="297">
        <v>0.66300000000000003</v>
      </c>
      <c r="F21" s="756">
        <f>SUM(H21-E21)</f>
        <v>6.2610000000000001</v>
      </c>
      <c r="G21" s="756" t="s">
        <v>1028</v>
      </c>
      <c r="H21" s="756">
        <v>6.9240000000000004</v>
      </c>
      <c r="I21" s="756">
        <v>5.2999999999999999E-2</v>
      </c>
      <c r="J21" s="756" t="s">
        <v>51</v>
      </c>
      <c r="K21" s="17"/>
      <c r="O21" s="8"/>
    </row>
    <row r="22" spans="1:15" ht="15" thickBot="1" x14ac:dyDescent="0.35">
      <c r="A22" s="1113"/>
      <c r="B22" s="183" t="s">
        <v>1029</v>
      </c>
      <c r="C22" s="3"/>
      <c r="D22" s="1155"/>
      <c r="E22" s="297">
        <v>0.01</v>
      </c>
      <c r="F22"/>
      <c r="K22" s="17"/>
      <c r="O22" s="8"/>
    </row>
    <row r="23" spans="1:15" ht="15" thickBot="1" x14ac:dyDescent="0.35">
      <c r="A23" s="1113"/>
      <c r="B23" s="183" t="s">
        <v>1030</v>
      </c>
      <c r="C23" s="3"/>
      <c r="D23" s="1155"/>
      <c r="E23" s="297">
        <v>0.41499999999999998</v>
      </c>
      <c r="F23" s="756">
        <f>SUM(H23-E23)</f>
        <v>1.5349999999999999</v>
      </c>
      <c r="G23" s="756" t="s">
        <v>1031</v>
      </c>
      <c r="H23" s="756">
        <v>1.95</v>
      </c>
      <c r="I23" s="756">
        <v>2.3E-2</v>
      </c>
      <c r="J23" s="756" t="s">
        <v>51</v>
      </c>
      <c r="K23" s="17"/>
      <c r="O23" s="8"/>
    </row>
    <row r="24" spans="1:15" x14ac:dyDescent="0.3">
      <c r="A24" s="1113"/>
      <c r="B24" s="183" t="s">
        <v>1032</v>
      </c>
      <c r="C24" s="3"/>
      <c r="D24" s="1155"/>
      <c r="E24" s="297">
        <v>8.0000000000000002E-3</v>
      </c>
      <c r="F24"/>
      <c r="K24" s="17"/>
      <c r="O24" s="8"/>
    </row>
    <row r="25" spans="1:15" x14ac:dyDescent="0.3">
      <c r="A25" s="1113"/>
      <c r="B25" s="183" t="s">
        <v>1033</v>
      </c>
      <c r="C25" s="3"/>
      <c r="D25" s="1155"/>
      <c r="E25" s="310">
        <v>6.8170000000000004E-4</v>
      </c>
      <c r="F25"/>
      <c r="K25" s="17"/>
      <c r="O25" s="8"/>
    </row>
    <row r="26" spans="1:15" ht="15" thickBot="1" x14ac:dyDescent="0.35">
      <c r="A26" s="1113"/>
      <c r="B26" s="183" t="s">
        <v>1034</v>
      </c>
      <c r="C26" s="3"/>
      <c r="D26" s="1155"/>
      <c r="E26" s="310">
        <v>6.8440000000000005E-4</v>
      </c>
      <c r="F26"/>
      <c r="K26" s="17"/>
      <c r="O26" s="8"/>
    </row>
    <row r="27" spans="1:15" ht="15" thickBot="1" x14ac:dyDescent="0.35">
      <c r="A27" s="1113"/>
      <c r="B27" s="183" t="s">
        <v>1035</v>
      </c>
      <c r="C27" s="3"/>
      <c r="D27" s="1155"/>
      <c r="E27" s="297">
        <v>0.10299999999999999</v>
      </c>
      <c r="F27" s="756">
        <f>SUM(H27-E27)</f>
        <v>0.94</v>
      </c>
      <c r="G27" s="756" t="s">
        <v>1036</v>
      </c>
      <c r="H27" s="756">
        <v>1.0429999999999999</v>
      </c>
      <c r="I27" s="756">
        <v>1.4999999999999999E-2</v>
      </c>
      <c r="J27" s="756" t="s">
        <v>51</v>
      </c>
      <c r="K27" s="17"/>
      <c r="O27" s="8"/>
    </row>
    <row r="28" spans="1:15" ht="15" thickBot="1" x14ac:dyDescent="0.35">
      <c r="A28" s="1113"/>
      <c r="B28" s="183" t="s">
        <v>1037</v>
      </c>
      <c r="C28" s="3"/>
      <c r="D28" s="1155"/>
      <c r="E28" s="297">
        <v>3.7999999999999999E-2</v>
      </c>
      <c r="F28" s="756">
        <f>SUM(H28-E28)</f>
        <v>0.22600000000000001</v>
      </c>
      <c r="G28" s="756" t="s">
        <v>1038</v>
      </c>
      <c r="H28" s="756">
        <v>0.26400000000000001</v>
      </c>
      <c r="I28" s="756">
        <v>3.0000000000000001E-3</v>
      </c>
      <c r="J28" s="756" t="s">
        <v>51</v>
      </c>
      <c r="K28" s="17"/>
      <c r="O28" s="8"/>
    </row>
    <row r="29" spans="1:15" ht="15" thickBot="1" x14ac:dyDescent="0.35">
      <c r="A29" s="1113"/>
      <c r="B29" s="183" t="s">
        <v>1039</v>
      </c>
      <c r="C29" s="3"/>
      <c r="D29" s="1155"/>
      <c r="E29" s="297">
        <v>0.158</v>
      </c>
      <c r="F29" s="756">
        <f>SUM(H29-E29)</f>
        <v>0.40200000000000002</v>
      </c>
      <c r="G29" s="756" t="s">
        <v>1040</v>
      </c>
      <c r="H29" s="756">
        <v>0.56000000000000005</v>
      </c>
      <c r="I29" s="756">
        <v>1.0999999999999999E-2</v>
      </c>
      <c r="J29" s="756" t="s">
        <v>51</v>
      </c>
      <c r="K29" s="17"/>
      <c r="O29" s="8"/>
    </row>
    <row r="30" spans="1:15" x14ac:dyDescent="0.3">
      <c r="A30" s="1113"/>
      <c r="B30" s="183" t="s">
        <v>1041</v>
      </c>
      <c r="C30" s="3"/>
      <c r="D30" s="1155"/>
      <c r="E30" s="310">
        <v>5.1259999999999999E-4</v>
      </c>
      <c r="F30"/>
      <c r="K30" s="17"/>
      <c r="O30" s="8"/>
    </row>
    <row r="31" spans="1:15" x14ac:dyDescent="0.3">
      <c r="A31" s="1113"/>
      <c r="B31" s="183" t="s">
        <v>1042</v>
      </c>
      <c r="C31" s="3"/>
      <c r="D31" s="1155"/>
      <c r="E31" s="297">
        <v>4.2000000000000003E-2</v>
      </c>
      <c r="F31"/>
      <c r="K31" s="17"/>
      <c r="O31" s="8"/>
    </row>
    <row r="32" spans="1:15" x14ac:dyDescent="0.3">
      <c r="A32" s="1113"/>
      <c r="B32" s="183" t="s">
        <v>1043</v>
      </c>
      <c r="C32" s="3"/>
      <c r="D32" s="1155"/>
      <c r="E32" s="297">
        <v>3.2000000000000001E-2</v>
      </c>
      <c r="F32"/>
      <c r="K32" s="17"/>
      <c r="O32" s="8"/>
    </row>
    <row r="33" spans="1:15" ht="15" thickBot="1" x14ac:dyDescent="0.35">
      <c r="A33" s="1113"/>
      <c r="B33" s="183" t="s">
        <v>1044</v>
      </c>
      <c r="C33" s="3"/>
      <c r="D33" s="1155"/>
      <c r="E33" s="297">
        <v>7.0000000000000001E-3</v>
      </c>
      <c r="F33"/>
      <c r="K33" s="17"/>
      <c r="O33" s="8"/>
    </row>
    <row r="34" spans="1:15" ht="15" thickBot="1" x14ac:dyDescent="0.35">
      <c r="A34" s="1113"/>
      <c r="B34" s="183" t="s">
        <v>1045</v>
      </c>
      <c r="C34" s="3"/>
      <c r="D34" s="1155"/>
      <c r="E34" s="297">
        <v>0.19600000000000001</v>
      </c>
      <c r="F34" s="756">
        <f>SUM(H34-E34)</f>
        <v>0.88300000000000001</v>
      </c>
      <c r="G34" s="756" t="s">
        <v>1046</v>
      </c>
      <c r="H34" s="756">
        <v>1.079</v>
      </c>
      <c r="I34" s="756">
        <v>1.9E-2</v>
      </c>
      <c r="J34" s="756" t="s">
        <v>51</v>
      </c>
      <c r="K34" s="17"/>
      <c r="O34" s="8"/>
    </row>
    <row r="35" spans="1:15" x14ac:dyDescent="0.3">
      <c r="A35" s="1113"/>
      <c r="B35" s="183" t="s">
        <v>1047</v>
      </c>
      <c r="C35" s="3"/>
      <c r="D35" s="1155"/>
      <c r="E35" s="297">
        <v>1.6E-2</v>
      </c>
      <c r="F35"/>
      <c r="K35" s="17"/>
      <c r="O35" s="8"/>
    </row>
    <row r="36" spans="1:15" x14ac:dyDescent="0.3">
      <c r="A36" s="1113"/>
      <c r="B36" s="183" t="s">
        <v>1048</v>
      </c>
      <c r="C36" s="3"/>
      <c r="D36" s="1155"/>
      <c r="E36" s="297">
        <v>0.58699999999999997</v>
      </c>
      <c r="F36"/>
      <c r="K36" s="17"/>
      <c r="O36" s="8"/>
    </row>
    <row r="37" spans="1:15" x14ac:dyDescent="0.3">
      <c r="A37" s="1113"/>
      <c r="B37" s="183" t="s">
        <v>829</v>
      </c>
      <c r="C37" s="3"/>
      <c r="D37" s="1155"/>
      <c r="E37" s="297">
        <v>2E-3</v>
      </c>
      <c r="F37"/>
      <c r="K37" s="17"/>
      <c r="O37" s="8"/>
    </row>
    <row r="38" spans="1:15" x14ac:dyDescent="0.3">
      <c r="A38" s="1113"/>
      <c r="B38" s="183" t="s">
        <v>1049</v>
      </c>
      <c r="C38" s="3"/>
      <c r="D38" s="1155"/>
      <c r="E38" s="297">
        <v>3.0000000000000001E-3</v>
      </c>
      <c r="F38"/>
      <c r="K38" s="17"/>
      <c r="O38" s="8"/>
    </row>
    <row r="39" spans="1:15" x14ac:dyDescent="0.3">
      <c r="A39" s="1113"/>
      <c r="B39" s="183" t="s">
        <v>1050</v>
      </c>
      <c r="C39" s="3"/>
      <c r="D39" s="1155"/>
      <c r="E39" s="297">
        <v>0.17</v>
      </c>
      <c r="F39"/>
      <c r="K39" s="17"/>
      <c r="O39" s="8"/>
    </row>
    <row r="40" spans="1:15" x14ac:dyDescent="0.3">
      <c r="A40" s="1113"/>
      <c r="B40" s="183" t="s">
        <v>1051</v>
      </c>
      <c r="C40" s="3"/>
      <c r="D40" s="1155"/>
      <c r="E40" s="297">
        <v>3.9E-2</v>
      </c>
      <c r="F40"/>
      <c r="K40" s="17"/>
      <c r="O40" s="8"/>
    </row>
    <row r="41" spans="1:15" x14ac:dyDescent="0.3">
      <c r="A41" s="1113"/>
      <c r="B41" s="183" t="s">
        <v>1052</v>
      </c>
      <c r="C41" s="3"/>
      <c r="D41" s="1155"/>
      <c r="E41" s="297">
        <v>1.4E-2</v>
      </c>
      <c r="F41"/>
      <c r="K41" s="17"/>
      <c r="O41" s="8"/>
    </row>
    <row r="42" spans="1:15" x14ac:dyDescent="0.3">
      <c r="A42" s="1113"/>
      <c r="B42" s="183" t="s">
        <v>1053</v>
      </c>
      <c r="C42" s="3"/>
      <c r="D42" s="1155"/>
      <c r="E42" s="297">
        <v>2.5000000000000001E-2</v>
      </c>
      <c r="F42"/>
      <c r="K42" s="17"/>
      <c r="O42" s="8"/>
    </row>
    <row r="43" spans="1:15" x14ac:dyDescent="0.3">
      <c r="A43" s="1113"/>
      <c r="B43" s="183" t="s">
        <v>1054</v>
      </c>
      <c r="C43" s="3"/>
      <c r="D43" s="1155"/>
      <c r="E43" s="297">
        <v>5.0000000000000001E-3</v>
      </c>
      <c r="F43"/>
      <c r="K43" s="17"/>
      <c r="O43" s="8"/>
    </row>
    <row r="44" spans="1:15" x14ac:dyDescent="0.3">
      <c r="A44" s="1113"/>
      <c r="B44" s="183" t="s">
        <v>1055</v>
      </c>
      <c r="C44" s="3"/>
      <c r="D44" s="1155"/>
      <c r="E44" s="310">
        <v>1.3300000000000001E-4</v>
      </c>
      <c r="F44"/>
      <c r="K44" s="17"/>
      <c r="O44" s="8"/>
    </row>
    <row r="45" spans="1:15" x14ac:dyDescent="0.3">
      <c r="A45" s="1113"/>
      <c r="B45" s="192" t="s">
        <v>1056</v>
      </c>
      <c r="C45" s="3"/>
      <c r="D45" s="1178" t="s">
        <v>244</v>
      </c>
      <c r="E45" s="311">
        <v>2E-3</v>
      </c>
      <c r="F45"/>
      <c r="K45" s="17"/>
      <c r="O45" s="8"/>
    </row>
    <row r="46" spans="1:15" x14ac:dyDescent="0.3">
      <c r="A46" s="1113"/>
      <c r="B46" s="192" t="s">
        <v>1057</v>
      </c>
      <c r="C46" s="3"/>
      <c r="D46" s="1098"/>
      <c r="E46" s="311">
        <v>6.0000000000000001E-3</v>
      </c>
      <c r="F46"/>
      <c r="K46" s="17"/>
      <c r="O46" s="8"/>
    </row>
    <row r="47" spans="1:15" x14ac:dyDescent="0.3">
      <c r="A47" s="1113"/>
      <c r="B47" s="192" t="s">
        <v>1058</v>
      </c>
      <c r="C47" s="3"/>
      <c r="D47" s="1098"/>
      <c r="E47" s="311">
        <v>1.2E-2</v>
      </c>
      <c r="F47"/>
      <c r="K47" s="17"/>
      <c r="O47" s="8"/>
    </row>
    <row r="48" spans="1:15" x14ac:dyDescent="0.3">
      <c r="A48" s="1113"/>
      <c r="B48" s="192" t="s">
        <v>1059</v>
      </c>
      <c r="C48" s="3"/>
      <c r="D48" s="1098"/>
      <c r="E48" s="311">
        <v>2E-3</v>
      </c>
      <c r="F48"/>
      <c r="K48" s="17"/>
      <c r="O48" s="8"/>
    </row>
    <row r="49" spans="1:15" x14ac:dyDescent="0.3">
      <c r="A49" s="1113"/>
      <c r="B49" s="192" t="s">
        <v>1060</v>
      </c>
      <c r="C49" s="3"/>
      <c r="D49" s="1098"/>
      <c r="E49" s="311">
        <v>1E-3</v>
      </c>
      <c r="F49"/>
      <c r="K49" s="17"/>
      <c r="O49" s="8"/>
    </row>
    <row r="50" spans="1:15" x14ac:dyDescent="0.3">
      <c r="A50" s="1113"/>
      <c r="B50" s="192" t="s">
        <v>1061</v>
      </c>
      <c r="C50" s="3"/>
      <c r="D50" s="1098"/>
      <c r="E50" s="311">
        <v>3.0000000000000001E-3</v>
      </c>
      <c r="F50"/>
      <c r="K50" s="17"/>
      <c r="O50" s="8"/>
    </row>
    <row r="51" spans="1:15" x14ac:dyDescent="0.3">
      <c r="A51" s="1113"/>
      <c r="B51" s="192" t="s">
        <v>1062</v>
      </c>
      <c r="C51" s="3"/>
      <c r="D51" s="1098"/>
      <c r="E51" s="311">
        <v>1E-3</v>
      </c>
      <c r="F51"/>
      <c r="K51" s="17"/>
      <c r="O51" s="8"/>
    </row>
    <row r="52" spans="1:15" x14ac:dyDescent="0.3">
      <c r="A52" s="1113"/>
      <c r="B52" s="193" t="s">
        <v>1063</v>
      </c>
      <c r="C52" s="3"/>
      <c r="D52" s="1096" t="s">
        <v>253</v>
      </c>
      <c r="E52" s="313">
        <v>0.94599999999999995</v>
      </c>
      <c r="F52"/>
      <c r="K52" s="17"/>
      <c r="O52" s="8"/>
    </row>
    <row r="53" spans="1:15" x14ac:dyDescent="0.3">
      <c r="A53" s="1113"/>
      <c r="B53" s="193" t="s">
        <v>1064</v>
      </c>
      <c r="C53" s="3"/>
      <c r="D53" s="1096"/>
      <c r="E53" s="314">
        <v>4.8289999999999997E-4</v>
      </c>
      <c r="F53"/>
      <c r="K53" s="17"/>
      <c r="O53" s="8"/>
    </row>
    <row r="54" spans="1:15" x14ac:dyDescent="0.3">
      <c r="A54" s="1113"/>
      <c r="B54" s="193" t="s">
        <v>1065</v>
      </c>
      <c r="C54" s="3"/>
      <c r="D54" s="1096"/>
      <c r="E54" s="313">
        <v>8.0000000000000002E-3</v>
      </c>
      <c r="F54"/>
      <c r="K54" s="17"/>
      <c r="O54" s="8"/>
    </row>
    <row r="55" spans="1:15" x14ac:dyDescent="0.3">
      <c r="A55" s="1113"/>
      <c r="B55" s="193" t="s">
        <v>1066</v>
      </c>
      <c r="C55" s="3"/>
      <c r="D55" s="1096"/>
      <c r="E55" s="313">
        <v>3.0000000000000001E-3</v>
      </c>
      <c r="F55"/>
      <c r="K55" s="17"/>
      <c r="O55" s="8"/>
    </row>
    <row r="56" spans="1:15" x14ac:dyDescent="0.3">
      <c r="A56" s="1113"/>
      <c r="B56" s="193" t="s">
        <v>1067</v>
      </c>
      <c r="C56" s="3"/>
      <c r="D56" s="1096"/>
      <c r="E56" s="313">
        <v>0.13600000000000001</v>
      </c>
      <c r="F56"/>
      <c r="K56" s="17"/>
      <c r="O56" s="8"/>
    </row>
    <row r="57" spans="1:15" x14ac:dyDescent="0.3">
      <c r="A57" s="1113"/>
      <c r="B57" s="193" t="s">
        <v>1068</v>
      </c>
      <c r="C57" s="3"/>
      <c r="D57" s="1096"/>
      <c r="E57" s="313">
        <v>6.0000000000000001E-3</v>
      </c>
      <c r="F57"/>
      <c r="K57" s="17"/>
      <c r="O57" s="8"/>
    </row>
    <row r="58" spans="1:15" x14ac:dyDescent="0.3">
      <c r="A58" s="1113"/>
      <c r="B58" s="193" t="s">
        <v>1069</v>
      </c>
      <c r="C58" s="3"/>
      <c r="D58" s="1096"/>
      <c r="E58" s="313">
        <v>3.0000000000000001E-3</v>
      </c>
      <c r="F58"/>
      <c r="K58" s="17"/>
      <c r="O58" s="8"/>
    </row>
    <row r="59" spans="1:15" x14ac:dyDescent="0.3">
      <c r="A59" s="1113"/>
      <c r="B59" s="193" t="s">
        <v>1070</v>
      </c>
      <c r="C59" s="3"/>
      <c r="D59" s="1096"/>
      <c r="E59" s="313">
        <v>4.0000000000000001E-3</v>
      </c>
      <c r="F59"/>
      <c r="K59" s="17"/>
      <c r="O59" s="8"/>
    </row>
    <row r="60" spans="1:15" ht="15" thickBot="1" x14ac:dyDescent="0.35">
      <c r="A60" s="1113"/>
      <c r="B60" s="193" t="s">
        <v>1071</v>
      </c>
      <c r="C60" s="3"/>
      <c r="D60" s="1096"/>
      <c r="E60" s="313">
        <v>2.1000000000000001E-2</v>
      </c>
      <c r="F60" s="9"/>
      <c r="G60" s="9"/>
      <c r="H60" s="9"/>
      <c r="I60" s="9"/>
      <c r="J60" s="9"/>
      <c r="K60" s="17"/>
      <c r="O60" s="8"/>
    </row>
    <row r="61" spans="1:15" x14ac:dyDescent="0.3">
      <c r="A61" s="1113"/>
      <c r="B61" s="193" t="s">
        <v>1072</v>
      </c>
      <c r="C61" s="3"/>
      <c r="D61" s="1096"/>
      <c r="E61" s="313">
        <v>6.0000000000000001E-3</v>
      </c>
      <c r="F61"/>
      <c r="K61" s="17"/>
      <c r="O61" s="8"/>
    </row>
    <row r="62" spans="1:15" x14ac:dyDescent="0.3">
      <c r="A62" s="1113"/>
      <c r="B62" s="193" t="s">
        <v>1073</v>
      </c>
      <c r="C62" s="3"/>
      <c r="D62" s="1096"/>
      <c r="E62" s="313">
        <v>1.7999999999999999E-2</v>
      </c>
      <c r="F62"/>
      <c r="K62" s="17"/>
      <c r="O62" s="8"/>
    </row>
    <row r="63" spans="1:15" x14ac:dyDescent="0.3">
      <c r="A63" s="1113"/>
      <c r="B63" s="193" t="s">
        <v>1074</v>
      </c>
      <c r="C63" s="3"/>
      <c r="D63" s="1096"/>
      <c r="E63" s="313">
        <v>4.0000000000000001E-3</v>
      </c>
      <c r="F63"/>
      <c r="K63" s="17"/>
      <c r="O63" s="8"/>
    </row>
    <row r="64" spans="1:15" x14ac:dyDescent="0.3">
      <c r="A64" s="1113"/>
      <c r="B64" s="193" t="s">
        <v>1075</v>
      </c>
      <c r="C64" s="3"/>
      <c r="D64" s="1096"/>
      <c r="E64" s="314">
        <v>9.1379999999999999E-4</v>
      </c>
      <c r="F64"/>
      <c r="K64" s="17"/>
      <c r="O64" s="8"/>
    </row>
    <row r="65" spans="1:15" x14ac:dyDescent="0.3">
      <c r="A65" s="1113"/>
      <c r="B65" s="193" t="s">
        <v>937</v>
      </c>
      <c r="C65" s="3"/>
      <c r="D65" s="1096"/>
      <c r="E65" s="313">
        <v>7.0000000000000001E-3</v>
      </c>
      <c r="F65"/>
      <c r="K65" s="17"/>
      <c r="O65" s="8"/>
    </row>
    <row r="66" spans="1:15" x14ac:dyDescent="0.3">
      <c r="A66" s="1113"/>
      <c r="B66" s="193" t="s">
        <v>1076</v>
      </c>
      <c r="C66" s="3"/>
      <c r="D66" s="1096"/>
      <c r="E66" s="313">
        <v>1.2E-2</v>
      </c>
      <c r="F66"/>
      <c r="K66" s="17"/>
      <c r="O66" s="8"/>
    </row>
    <row r="67" spans="1:15" x14ac:dyDescent="0.3">
      <c r="A67" s="1113"/>
      <c r="B67" s="193" t="s">
        <v>1077</v>
      </c>
      <c r="C67" s="3"/>
      <c r="D67" s="1096"/>
      <c r="E67" s="313">
        <v>1.2999999999999999E-2</v>
      </c>
      <c r="F67"/>
      <c r="K67" s="17"/>
      <c r="O67" s="8"/>
    </row>
    <row r="68" spans="1:15" x14ac:dyDescent="0.3">
      <c r="A68" s="1113"/>
      <c r="B68" s="193" t="s">
        <v>1078</v>
      </c>
      <c r="C68" s="3"/>
      <c r="D68" s="1096"/>
      <c r="E68" s="313">
        <v>2.3E-2</v>
      </c>
      <c r="F68"/>
      <c r="K68" s="17"/>
      <c r="O68" s="8"/>
    </row>
    <row r="69" spans="1:15" x14ac:dyDescent="0.3">
      <c r="A69" s="1113"/>
      <c r="B69" s="193" t="s">
        <v>1079</v>
      </c>
      <c r="C69" s="3"/>
      <c r="D69" s="1096"/>
      <c r="E69" s="313">
        <v>5.0000000000000001E-3</v>
      </c>
      <c r="F69"/>
      <c r="K69" s="17"/>
      <c r="O69" s="8"/>
    </row>
    <row r="70" spans="1:15" x14ac:dyDescent="0.3">
      <c r="A70" s="1113"/>
      <c r="B70" s="193" t="s">
        <v>1080</v>
      </c>
      <c r="C70" s="3"/>
      <c r="D70" s="1096"/>
      <c r="E70" s="313">
        <v>4.0000000000000001E-3</v>
      </c>
      <c r="F70"/>
      <c r="K70" s="17"/>
      <c r="O70" s="8"/>
    </row>
    <row r="71" spans="1:15" x14ac:dyDescent="0.3">
      <c r="A71" s="1113"/>
      <c r="B71" s="193" t="s">
        <v>889</v>
      </c>
      <c r="C71" s="3"/>
      <c r="D71" s="1096"/>
      <c r="E71" s="313">
        <v>8.9999999999999993E-3</v>
      </c>
      <c r="F71"/>
      <c r="K71" s="17"/>
      <c r="O71" s="8"/>
    </row>
    <row r="72" spans="1:15" x14ac:dyDescent="0.3">
      <c r="A72" s="1113"/>
      <c r="B72" s="193" t="s">
        <v>1081</v>
      </c>
      <c r="C72" s="3"/>
      <c r="D72" s="1096"/>
      <c r="E72" s="313">
        <v>4.2000000000000003E-2</v>
      </c>
      <c r="F72"/>
      <c r="K72" s="17"/>
      <c r="O72" s="8"/>
    </row>
    <row r="73" spans="1:15" x14ac:dyDescent="0.3">
      <c r="A73" s="1113"/>
      <c r="B73" s="193" t="s">
        <v>1082</v>
      </c>
      <c r="C73" s="3"/>
      <c r="D73" s="1096"/>
      <c r="E73" s="313">
        <v>1.0999999999999999E-2</v>
      </c>
      <c r="F73"/>
      <c r="K73" s="17"/>
      <c r="O73" s="8"/>
    </row>
    <row r="74" spans="1:15" x14ac:dyDescent="0.3">
      <c r="A74" s="1113"/>
      <c r="B74" s="193" t="s">
        <v>1083</v>
      </c>
      <c r="C74" s="3"/>
      <c r="D74" s="1096"/>
      <c r="E74" s="313">
        <v>8.9999999999999993E-3</v>
      </c>
      <c r="F74"/>
      <c r="K74" s="17"/>
      <c r="O74" s="8"/>
    </row>
    <row r="75" spans="1:15" x14ac:dyDescent="0.3">
      <c r="A75" s="1113"/>
      <c r="B75" s="193" t="s">
        <v>1084</v>
      </c>
      <c r="C75" s="3"/>
      <c r="D75" s="1096"/>
      <c r="E75" s="313">
        <v>4.0000000000000001E-3</v>
      </c>
      <c r="F75"/>
      <c r="K75" s="17"/>
      <c r="O75" s="8"/>
    </row>
    <row r="76" spans="1:15" x14ac:dyDescent="0.3">
      <c r="A76" s="1113"/>
      <c r="B76" s="193" t="s">
        <v>1085</v>
      </c>
      <c r="C76" s="3"/>
      <c r="D76" s="1096"/>
      <c r="E76" s="313">
        <v>1.2999999999999999E-2</v>
      </c>
      <c r="F76"/>
      <c r="K76" s="17"/>
      <c r="O76" s="8"/>
    </row>
    <row r="77" spans="1:15" x14ac:dyDescent="0.3">
      <c r="A77" s="1113"/>
      <c r="B77" s="193" t="s">
        <v>950</v>
      </c>
      <c r="C77" s="3"/>
      <c r="D77" s="1096"/>
      <c r="E77" s="313">
        <v>3.0000000000000001E-3</v>
      </c>
      <c r="F77"/>
      <c r="K77" s="17"/>
      <c r="O77" s="8"/>
    </row>
    <row r="78" spans="1:15" x14ac:dyDescent="0.3">
      <c r="A78" s="1113"/>
      <c r="B78" s="193" t="s">
        <v>1086</v>
      </c>
      <c r="C78" s="3"/>
      <c r="D78" s="1096"/>
      <c r="E78" s="313">
        <v>2E-3</v>
      </c>
      <c r="F78"/>
      <c r="K78" s="17"/>
      <c r="O78" s="8"/>
    </row>
    <row r="79" spans="1:15" x14ac:dyDescent="0.3">
      <c r="A79" s="1113"/>
      <c r="B79" s="193" t="s">
        <v>1087</v>
      </c>
      <c r="C79" s="3"/>
      <c r="D79" s="1096"/>
      <c r="E79" s="313">
        <v>2.5000000000000001E-2</v>
      </c>
      <c r="F79"/>
      <c r="K79" s="17"/>
      <c r="O79" s="8"/>
    </row>
    <row r="80" spans="1:15" x14ac:dyDescent="0.3">
      <c r="A80" s="1113"/>
      <c r="B80" s="193" t="s">
        <v>1088</v>
      </c>
      <c r="C80" s="3"/>
      <c r="D80" s="1096"/>
      <c r="E80" s="313">
        <v>7.0000000000000001E-3</v>
      </c>
      <c r="F80"/>
      <c r="K80" s="17"/>
      <c r="O80" s="8"/>
    </row>
    <row r="81" spans="1:15" x14ac:dyDescent="0.3">
      <c r="A81" s="1113"/>
      <c r="B81" s="193" t="s">
        <v>1089</v>
      </c>
      <c r="C81" s="3"/>
      <c r="D81" s="1096"/>
      <c r="E81" s="313">
        <v>2E-3</v>
      </c>
      <c r="F81"/>
      <c r="K81" s="17"/>
      <c r="O81" s="8"/>
    </row>
    <row r="82" spans="1:15" x14ac:dyDescent="0.3">
      <c r="A82" s="1113"/>
      <c r="B82" s="193" t="s">
        <v>1090</v>
      </c>
      <c r="C82" s="3"/>
      <c r="D82" s="1096"/>
      <c r="E82" s="314">
        <v>6.2520000000000002E-4</v>
      </c>
      <c r="F82"/>
      <c r="K82" s="17"/>
      <c r="O82" s="8"/>
    </row>
    <row r="83" spans="1:15" x14ac:dyDescent="0.3">
      <c r="A83" s="1113"/>
      <c r="B83" s="193" t="s">
        <v>1091</v>
      </c>
      <c r="C83" s="3"/>
      <c r="D83" s="1096"/>
      <c r="E83" s="313">
        <v>3.0000000000000001E-3</v>
      </c>
      <c r="F83"/>
      <c r="K83" s="17"/>
      <c r="O83" s="8"/>
    </row>
    <row r="84" spans="1:15" x14ac:dyDescent="0.3">
      <c r="A84" s="1113"/>
      <c r="B84" s="193" t="s">
        <v>1092</v>
      </c>
      <c r="C84" s="3"/>
      <c r="D84" s="1096"/>
      <c r="E84" s="313">
        <v>4.0000000000000001E-3</v>
      </c>
      <c r="F84"/>
      <c r="K84" s="17"/>
      <c r="O84" s="8"/>
    </row>
    <row r="85" spans="1:15" x14ac:dyDescent="0.3">
      <c r="A85" s="1113"/>
      <c r="B85" s="193" t="s">
        <v>1093</v>
      </c>
      <c r="C85" s="3"/>
      <c r="D85" s="1096"/>
      <c r="E85" s="313">
        <v>1E-3</v>
      </c>
      <c r="F85"/>
      <c r="K85" s="17"/>
      <c r="O85" s="8"/>
    </row>
    <row r="86" spans="1:15" x14ac:dyDescent="0.3">
      <c r="A86" s="1113"/>
      <c r="B86" s="193" t="s">
        <v>706</v>
      </c>
      <c r="C86" s="3"/>
      <c r="D86" s="1096"/>
      <c r="E86" s="313">
        <v>4.0000000000000001E-3</v>
      </c>
      <c r="F86"/>
      <c r="K86" s="17"/>
      <c r="O86" s="8"/>
    </row>
    <row r="87" spans="1:15" x14ac:dyDescent="0.3">
      <c r="A87" s="1113"/>
      <c r="B87" s="193" t="s">
        <v>1094</v>
      </c>
      <c r="C87" s="3"/>
      <c r="D87" s="1096"/>
      <c r="E87" s="313">
        <v>8.9999999999999993E-3</v>
      </c>
      <c r="F87"/>
      <c r="K87" s="17"/>
      <c r="O87" s="8"/>
    </row>
    <row r="88" spans="1:15" x14ac:dyDescent="0.3">
      <c r="A88" s="1113"/>
      <c r="B88" s="193" t="s">
        <v>1095</v>
      </c>
      <c r="C88" s="3"/>
      <c r="D88" s="1096"/>
      <c r="E88" s="313">
        <v>1.6E-2</v>
      </c>
      <c r="F88"/>
      <c r="K88" s="17"/>
      <c r="O88" s="8"/>
    </row>
    <row r="89" spans="1:15" x14ac:dyDescent="0.3">
      <c r="A89" s="1113"/>
      <c r="B89" s="193" t="s">
        <v>1096</v>
      </c>
      <c r="C89" s="3"/>
      <c r="D89" s="1096"/>
      <c r="E89" s="313">
        <v>8.0000000000000002E-3</v>
      </c>
      <c r="F89"/>
      <c r="K89" s="17"/>
      <c r="O89" s="8"/>
    </row>
    <row r="90" spans="1:15" x14ac:dyDescent="0.3">
      <c r="A90" s="1113"/>
      <c r="B90" s="193" t="s">
        <v>1097</v>
      </c>
      <c r="C90" s="3"/>
      <c r="D90" s="1096"/>
      <c r="E90" s="313">
        <v>2E-3</v>
      </c>
      <c r="F90"/>
      <c r="K90" s="17"/>
      <c r="O90" s="8"/>
    </row>
    <row r="91" spans="1:15" x14ac:dyDescent="0.3">
      <c r="A91" s="1113"/>
      <c r="B91" s="193" t="s">
        <v>1090</v>
      </c>
      <c r="C91" s="3"/>
      <c r="D91" s="1096"/>
      <c r="E91" s="314">
        <v>6.2520000000000002E-4</v>
      </c>
      <c r="F91"/>
      <c r="K91" s="17"/>
      <c r="O91" s="8"/>
    </row>
    <row r="92" spans="1:15" x14ac:dyDescent="0.3">
      <c r="A92" s="1113"/>
      <c r="B92" s="193" t="s">
        <v>729</v>
      </c>
      <c r="C92" s="3"/>
      <c r="D92" s="1096"/>
      <c r="E92" s="314">
        <v>3.0000000000000001E-3</v>
      </c>
      <c r="F92"/>
      <c r="K92" s="17"/>
      <c r="O92" s="8"/>
    </row>
    <row r="93" spans="1:15" x14ac:dyDescent="0.3">
      <c r="A93" s="1113"/>
      <c r="B93" s="193" t="s">
        <v>1098</v>
      </c>
      <c r="C93" s="3"/>
      <c r="D93" s="173"/>
      <c r="E93" s="314">
        <v>1.7999999999999999E-2</v>
      </c>
      <c r="F93"/>
      <c r="K93" s="17"/>
      <c r="O93" s="8"/>
    </row>
    <row r="94" spans="1:15" x14ac:dyDescent="0.3">
      <c r="A94" s="1113"/>
      <c r="B94" s="193" t="s">
        <v>1099</v>
      </c>
      <c r="C94" s="3"/>
      <c r="D94" s="173"/>
      <c r="E94" s="314">
        <v>8.9999999999999993E-3</v>
      </c>
      <c r="F94"/>
      <c r="K94" s="17"/>
      <c r="O94" s="8"/>
    </row>
    <row r="95" spans="1:15" x14ac:dyDescent="0.3">
      <c r="A95" s="1113"/>
      <c r="B95" s="193" t="s">
        <v>1100</v>
      </c>
      <c r="C95" s="3"/>
      <c r="D95" s="173"/>
      <c r="E95" s="314">
        <v>2E-3</v>
      </c>
      <c r="F95"/>
      <c r="K95" s="17"/>
      <c r="O95" s="8"/>
    </row>
    <row r="96" spans="1:15" x14ac:dyDescent="0.3">
      <c r="A96" s="1113"/>
      <c r="B96" s="193" t="s">
        <v>1101</v>
      </c>
      <c r="C96" s="3"/>
      <c r="D96" s="173"/>
      <c r="E96" s="314">
        <v>5.0000000000000001E-3</v>
      </c>
      <c r="F96"/>
      <c r="K96" s="17"/>
      <c r="O96" s="8"/>
    </row>
    <row r="97" spans="1:15" x14ac:dyDescent="0.3">
      <c r="A97" s="1113"/>
      <c r="B97" s="184" t="s">
        <v>1102</v>
      </c>
      <c r="C97" s="3"/>
      <c r="D97" s="1097" t="s">
        <v>270</v>
      </c>
      <c r="E97" s="315">
        <v>0.02</v>
      </c>
      <c r="F97"/>
      <c r="K97" s="17"/>
      <c r="O97" s="8"/>
    </row>
    <row r="98" spans="1:15" x14ac:dyDescent="0.3">
      <c r="A98" s="1113"/>
      <c r="B98" s="184" t="s">
        <v>1103</v>
      </c>
      <c r="C98" s="3"/>
      <c r="D98" s="1097"/>
      <c r="E98" s="315">
        <v>5.0000000000000001E-3</v>
      </c>
      <c r="F98"/>
      <c r="K98" s="17"/>
      <c r="O98" s="8"/>
    </row>
    <row r="99" spans="1:15" x14ac:dyDescent="0.3">
      <c r="A99" s="1113"/>
      <c r="B99" s="184" t="s">
        <v>1104</v>
      </c>
      <c r="C99" s="3"/>
      <c r="D99" s="1097"/>
      <c r="E99" s="315">
        <v>4.0000000000000001E-3</v>
      </c>
      <c r="F99"/>
      <c r="K99" s="17"/>
      <c r="O99" s="8"/>
    </row>
    <row r="100" spans="1:15" x14ac:dyDescent="0.3">
      <c r="A100" s="1113"/>
      <c r="B100" s="324" t="s">
        <v>1105</v>
      </c>
      <c r="C100" s="3"/>
      <c r="D100" s="1177" t="s">
        <v>248</v>
      </c>
      <c r="E100" s="323" t="s">
        <v>1106</v>
      </c>
      <c r="F100"/>
      <c r="K100" s="17"/>
      <c r="O100" s="8"/>
    </row>
    <row r="101" spans="1:15" x14ac:dyDescent="0.3">
      <c r="A101" s="1113"/>
      <c r="B101" s="324" t="s">
        <v>1107</v>
      </c>
      <c r="C101" s="3"/>
      <c r="D101" s="1177"/>
      <c r="E101" s="325">
        <v>3.4680000000000003E-4</v>
      </c>
      <c r="F101"/>
      <c r="K101" s="17"/>
      <c r="O101" s="8"/>
    </row>
    <row r="102" spans="1:15" x14ac:dyDescent="0.3">
      <c r="A102" s="1113"/>
      <c r="B102" s="324" t="s">
        <v>1108</v>
      </c>
      <c r="C102" s="3"/>
      <c r="D102" s="1177"/>
      <c r="E102" s="323">
        <v>1.4E-2</v>
      </c>
      <c r="F102"/>
      <c r="K102" s="17"/>
      <c r="O102" s="8"/>
    </row>
    <row r="103" spans="1:15" x14ac:dyDescent="0.3">
      <c r="A103" s="1113"/>
      <c r="B103" s="324" t="s">
        <v>1109</v>
      </c>
      <c r="C103" s="3"/>
      <c r="D103" s="1177"/>
      <c r="E103" s="325">
        <v>1.9479999999999999E-4</v>
      </c>
      <c r="F103"/>
      <c r="K103" s="17"/>
      <c r="O103" s="8"/>
    </row>
    <row r="104" spans="1:15" x14ac:dyDescent="0.3">
      <c r="A104" s="1113"/>
      <c r="B104" s="164" t="s">
        <v>1110</v>
      </c>
      <c r="C104" s="3"/>
      <c r="D104" s="1104" t="s">
        <v>240</v>
      </c>
      <c r="E104" s="328">
        <v>9.802E-5</v>
      </c>
      <c r="F104"/>
      <c r="K104" s="17"/>
      <c r="O104" s="8"/>
    </row>
    <row r="105" spans="1:15" x14ac:dyDescent="0.3">
      <c r="A105" s="1113"/>
      <c r="B105" s="164" t="s">
        <v>1111</v>
      </c>
      <c r="C105" s="3"/>
      <c r="D105" s="1104"/>
      <c r="E105" s="328">
        <v>0.01</v>
      </c>
      <c r="F105"/>
      <c r="K105" s="17"/>
      <c r="O105" s="8"/>
    </row>
    <row r="106" spans="1:15" x14ac:dyDescent="0.3">
      <c r="A106" s="1113"/>
      <c r="B106" s="405" t="s">
        <v>1112</v>
      </c>
      <c r="C106" s="3"/>
      <c r="D106" s="404" t="s">
        <v>279</v>
      </c>
      <c r="E106" s="514">
        <v>2E-3</v>
      </c>
      <c r="F106"/>
      <c r="K106" s="17"/>
      <c r="O106" s="8"/>
    </row>
    <row r="107" spans="1:15" ht="15" thickBot="1" x14ac:dyDescent="0.35">
      <c r="A107" s="1072"/>
      <c r="B107" s="517" t="s">
        <v>1113</v>
      </c>
      <c r="C107" s="332"/>
      <c r="D107" s="515" t="s">
        <v>277</v>
      </c>
      <c r="E107" s="516">
        <v>0.01</v>
      </c>
      <c r="F107"/>
      <c r="K107" s="163"/>
      <c r="L107" s="9"/>
      <c r="M107" s="9"/>
      <c r="N107" s="9"/>
      <c r="O107" s="10"/>
    </row>
    <row r="108" spans="1:15" x14ac:dyDescent="0.3">
      <c r="A108"/>
      <c r="C108"/>
      <c r="E108"/>
      <c r="F108"/>
    </row>
    <row r="109" spans="1:15" x14ac:dyDescent="0.3">
      <c r="A109"/>
      <c r="C109"/>
      <c r="E109"/>
      <c r="F109"/>
    </row>
    <row r="110" spans="1:15" x14ac:dyDescent="0.3">
      <c r="A110"/>
      <c r="C110"/>
      <c r="E110"/>
      <c r="F110"/>
    </row>
    <row r="111" spans="1:15" x14ac:dyDescent="0.3">
      <c r="A111"/>
      <c r="C111"/>
      <c r="E111"/>
      <c r="F111"/>
    </row>
    <row r="112" spans="1:15" x14ac:dyDescent="0.3">
      <c r="A112"/>
      <c r="C112"/>
      <c r="E112"/>
      <c r="F112"/>
    </row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ht="15" customHeigh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ht="15" customHeight="1" x14ac:dyDescent="0.3"/>
    <row r="150" customFormat="1" x14ac:dyDescent="0.3"/>
    <row r="151" customFormat="1" x14ac:dyDescent="0.3"/>
    <row r="152" customFormat="1" x14ac:dyDescent="0.3"/>
    <row r="153" customFormat="1" ht="15" customHeight="1" x14ac:dyDescent="0.3"/>
    <row r="154" customFormat="1" x14ac:dyDescent="0.3"/>
    <row r="155" customFormat="1" x14ac:dyDescent="0.3"/>
    <row r="156" customFormat="1" ht="15" customHeight="1" x14ac:dyDescent="0.3"/>
    <row r="157" customFormat="1" x14ac:dyDescent="0.3"/>
    <row r="158" customFormat="1" x14ac:dyDescent="0.3"/>
    <row r="159" customFormat="1" x14ac:dyDescent="0.3"/>
    <row r="160" customFormat="1" x14ac:dyDescent="0.3"/>
    <row r="161" customFormat="1" x14ac:dyDescent="0.3"/>
    <row r="162" customFormat="1" x14ac:dyDescent="0.3"/>
    <row r="163" customFormat="1" x14ac:dyDescent="0.3"/>
    <row r="164" customFormat="1" x14ac:dyDescent="0.3"/>
    <row r="165" customFormat="1" x14ac:dyDescent="0.3"/>
    <row r="166" customFormat="1" x14ac:dyDescent="0.3"/>
    <row r="167" customFormat="1" x14ac:dyDescent="0.3"/>
    <row r="168" customFormat="1" x14ac:dyDescent="0.3"/>
    <row r="169" customFormat="1" x14ac:dyDescent="0.3"/>
    <row r="170" customFormat="1" x14ac:dyDescent="0.3"/>
    <row r="171" customFormat="1" x14ac:dyDescent="0.3"/>
    <row r="172" customFormat="1" x14ac:dyDescent="0.3"/>
    <row r="173" customFormat="1" x14ac:dyDescent="0.3"/>
    <row r="174" customFormat="1" x14ac:dyDescent="0.3"/>
    <row r="175" customFormat="1" x14ac:dyDescent="0.3"/>
    <row r="176" customFormat="1" x14ac:dyDescent="0.3"/>
    <row r="177" customFormat="1" x14ac:dyDescent="0.3"/>
    <row r="178" customFormat="1" x14ac:dyDescent="0.3"/>
    <row r="179" customFormat="1" x14ac:dyDescent="0.3"/>
    <row r="180" customFormat="1" x14ac:dyDescent="0.3"/>
    <row r="181" customFormat="1" x14ac:dyDescent="0.3"/>
    <row r="182" customFormat="1" x14ac:dyDescent="0.3"/>
    <row r="183" customFormat="1" x14ac:dyDescent="0.3"/>
    <row r="184" customFormat="1" x14ac:dyDescent="0.3"/>
    <row r="185" customFormat="1" x14ac:dyDescent="0.3"/>
    <row r="186" customFormat="1" x14ac:dyDescent="0.3"/>
    <row r="187" customFormat="1" x14ac:dyDescent="0.3"/>
    <row r="188" customFormat="1" x14ac:dyDescent="0.3"/>
    <row r="189" customFormat="1" x14ac:dyDescent="0.3"/>
    <row r="190" customFormat="1" x14ac:dyDescent="0.3"/>
    <row r="191" customFormat="1" ht="15" customHeight="1" x14ac:dyDescent="0.3"/>
    <row r="192" customFormat="1" x14ac:dyDescent="0.3"/>
    <row r="193" customFormat="1" x14ac:dyDescent="0.3"/>
    <row r="194" customFormat="1" ht="15" customHeight="1" x14ac:dyDescent="0.3"/>
    <row r="195" customFormat="1" x14ac:dyDescent="0.3"/>
    <row r="196" customFormat="1" x14ac:dyDescent="0.3"/>
    <row r="197" customFormat="1" x14ac:dyDescent="0.3"/>
    <row r="198" customFormat="1" x14ac:dyDescent="0.3"/>
    <row r="199" customFormat="1" ht="15" customHeight="1" x14ac:dyDescent="0.3"/>
    <row r="200" customFormat="1" x14ac:dyDescent="0.3"/>
    <row r="201" customFormat="1" x14ac:dyDescent="0.3"/>
    <row r="202" customFormat="1" x14ac:dyDescent="0.3"/>
    <row r="203" customFormat="1" x14ac:dyDescent="0.3"/>
    <row r="204" customFormat="1" x14ac:dyDescent="0.3"/>
    <row r="205" customFormat="1" x14ac:dyDescent="0.3"/>
    <row r="206" customFormat="1" x14ac:dyDescent="0.3"/>
    <row r="207" customFormat="1" x14ac:dyDescent="0.3"/>
    <row r="208" customFormat="1" x14ac:dyDescent="0.3"/>
    <row r="209" customFormat="1" x14ac:dyDescent="0.3"/>
    <row r="210" customFormat="1" x14ac:dyDescent="0.3"/>
    <row r="211" customFormat="1" x14ac:dyDescent="0.3"/>
    <row r="212" customFormat="1" x14ac:dyDescent="0.3"/>
    <row r="213" customFormat="1" x14ac:dyDescent="0.3"/>
    <row r="214" customFormat="1" x14ac:dyDescent="0.3"/>
    <row r="215" customFormat="1" x14ac:dyDescent="0.3"/>
    <row r="216" customFormat="1" x14ac:dyDescent="0.3"/>
    <row r="217" customFormat="1" x14ac:dyDescent="0.3"/>
    <row r="218" customFormat="1" x14ac:dyDescent="0.3"/>
    <row r="219" customFormat="1" x14ac:dyDescent="0.3"/>
    <row r="220" customFormat="1" x14ac:dyDescent="0.3"/>
    <row r="221" customFormat="1" x14ac:dyDescent="0.3"/>
    <row r="222" customFormat="1" ht="15" customHeight="1" x14ac:dyDescent="0.3"/>
    <row r="223" customFormat="1" x14ac:dyDescent="0.3"/>
    <row r="224" customFormat="1" x14ac:dyDescent="0.3"/>
    <row r="225" spans="1:6" customFormat="1" x14ac:dyDescent="0.3"/>
    <row r="226" spans="1:6" customFormat="1" x14ac:dyDescent="0.3"/>
    <row r="227" spans="1:6" customFormat="1" x14ac:dyDescent="0.3"/>
    <row r="228" spans="1:6" customFormat="1" x14ac:dyDescent="0.3"/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  <row r="238" spans="1:6" x14ac:dyDescent="0.3">
      <c r="A238"/>
      <c r="C238" s="3"/>
      <c r="E238" s="1"/>
      <c r="F238"/>
    </row>
    <row r="239" spans="1:6" x14ac:dyDescent="0.3">
      <c r="A239"/>
      <c r="C239" s="3"/>
      <c r="E239" s="1"/>
      <c r="F239"/>
    </row>
    <row r="240" spans="1:6" x14ac:dyDescent="0.3">
      <c r="A240"/>
      <c r="C240" s="3"/>
      <c r="E240" s="1"/>
      <c r="F240"/>
    </row>
    <row r="241" spans="1:6" x14ac:dyDescent="0.3">
      <c r="A241"/>
      <c r="C241" s="3"/>
      <c r="E241" s="1"/>
      <c r="F241"/>
    </row>
    <row r="242" spans="1:6" x14ac:dyDescent="0.3">
      <c r="A242"/>
      <c r="C242" s="3"/>
      <c r="E242" s="1"/>
      <c r="F242"/>
    </row>
    <row r="243" spans="1:6" x14ac:dyDescent="0.3">
      <c r="A243"/>
      <c r="C243" s="3"/>
      <c r="E243" s="1"/>
      <c r="F243"/>
    </row>
    <row r="244" spans="1:6" x14ac:dyDescent="0.3">
      <c r="A244"/>
      <c r="C244" s="3"/>
      <c r="E244" s="1"/>
      <c r="F244"/>
    </row>
    <row r="245" spans="1:6" x14ac:dyDescent="0.3">
      <c r="A245"/>
      <c r="C245" s="3"/>
      <c r="E245" s="1"/>
      <c r="F245"/>
    </row>
    <row r="246" spans="1:6" x14ac:dyDescent="0.3">
      <c r="A246"/>
      <c r="C246" s="3"/>
      <c r="E246" s="1"/>
      <c r="F246"/>
    </row>
    <row r="247" spans="1:6" x14ac:dyDescent="0.3">
      <c r="A247"/>
      <c r="C247" s="3"/>
      <c r="E247" s="1"/>
      <c r="F247"/>
    </row>
    <row r="248" spans="1:6" x14ac:dyDescent="0.3">
      <c r="A248"/>
      <c r="C248" s="3"/>
      <c r="E248" s="1"/>
      <c r="F248"/>
    </row>
    <row r="249" spans="1:6" x14ac:dyDescent="0.3">
      <c r="A249"/>
      <c r="C249" s="3"/>
      <c r="E249" s="1"/>
      <c r="F249"/>
    </row>
    <row r="250" spans="1:6" x14ac:dyDescent="0.3">
      <c r="A250"/>
      <c r="C250" s="3"/>
      <c r="E250" s="1"/>
      <c r="F250"/>
    </row>
    <row r="251" spans="1:6" x14ac:dyDescent="0.3">
      <c r="A251"/>
      <c r="C251" s="3"/>
      <c r="E251" s="1"/>
      <c r="F251"/>
    </row>
    <row r="252" spans="1:6" x14ac:dyDescent="0.3">
      <c r="A252"/>
      <c r="C252" s="3"/>
      <c r="E252" s="1"/>
      <c r="F252"/>
    </row>
    <row r="253" spans="1:6" x14ac:dyDescent="0.3">
      <c r="A253"/>
      <c r="C253" s="3"/>
      <c r="E253" s="1"/>
      <c r="F253"/>
    </row>
    <row r="254" spans="1:6" x14ac:dyDescent="0.3">
      <c r="A254"/>
      <c r="C254" s="3"/>
      <c r="E254" s="1"/>
      <c r="F254"/>
    </row>
    <row r="255" spans="1:6" x14ac:dyDescent="0.3">
      <c r="A255"/>
      <c r="C255" s="3"/>
      <c r="E255" s="1"/>
      <c r="F255"/>
    </row>
    <row r="256" spans="1:6" x14ac:dyDescent="0.3">
      <c r="A256"/>
      <c r="C256" s="3"/>
      <c r="E256" s="1"/>
      <c r="F256"/>
    </row>
    <row r="257" spans="1:6" x14ac:dyDescent="0.3">
      <c r="A257"/>
      <c r="C257" s="3"/>
      <c r="E257" s="1"/>
      <c r="F257"/>
    </row>
    <row r="258" spans="1:6" x14ac:dyDescent="0.3">
      <c r="A258"/>
      <c r="C258" s="3"/>
      <c r="E258" s="1"/>
      <c r="F258"/>
    </row>
    <row r="259" spans="1:6" x14ac:dyDescent="0.3">
      <c r="A259"/>
      <c r="C259" s="3"/>
      <c r="E259" s="1"/>
      <c r="F259"/>
    </row>
    <row r="260" spans="1:6" x14ac:dyDescent="0.3">
      <c r="A260"/>
      <c r="C260" s="3"/>
      <c r="E260" s="1"/>
      <c r="F260"/>
    </row>
    <row r="261" spans="1:6" x14ac:dyDescent="0.3">
      <c r="A261"/>
      <c r="C261" s="3"/>
      <c r="E261" s="1"/>
      <c r="F261"/>
    </row>
    <row r="262" spans="1:6" x14ac:dyDescent="0.3">
      <c r="A262"/>
      <c r="C262" s="3"/>
      <c r="E262" s="1"/>
      <c r="F262"/>
    </row>
    <row r="263" spans="1:6" x14ac:dyDescent="0.3">
      <c r="A263"/>
      <c r="C263" s="3"/>
      <c r="E263" s="1"/>
      <c r="F263"/>
    </row>
    <row r="264" spans="1:6" x14ac:dyDescent="0.3">
      <c r="A264"/>
      <c r="C264" s="3"/>
      <c r="E264" s="1"/>
      <c r="F264"/>
    </row>
    <row r="265" spans="1:6" x14ac:dyDescent="0.3">
      <c r="A265"/>
      <c r="C265" s="3"/>
      <c r="E265" s="1"/>
      <c r="F265"/>
    </row>
    <row r="266" spans="1:6" x14ac:dyDescent="0.3">
      <c r="A266"/>
      <c r="C266" s="3"/>
      <c r="E266" s="1"/>
      <c r="F266"/>
    </row>
    <row r="267" spans="1:6" x14ac:dyDescent="0.3">
      <c r="A267"/>
      <c r="C267" s="3"/>
      <c r="E267" s="1"/>
      <c r="F267"/>
    </row>
    <row r="268" spans="1:6" x14ac:dyDescent="0.3">
      <c r="A268"/>
      <c r="C268" s="3"/>
      <c r="E268" s="1"/>
      <c r="F268"/>
    </row>
    <row r="269" spans="1:6" x14ac:dyDescent="0.3">
      <c r="A269"/>
      <c r="C269" s="3"/>
      <c r="E269" s="1"/>
      <c r="F269"/>
    </row>
    <row r="270" spans="1:6" x14ac:dyDescent="0.3">
      <c r="A270"/>
      <c r="C270" s="3"/>
      <c r="E270" s="1"/>
    </row>
    <row r="271" spans="1:6" x14ac:dyDescent="0.3">
      <c r="A271"/>
      <c r="C271" s="3"/>
      <c r="E271" s="1"/>
    </row>
    <row r="272" spans="1:6" x14ac:dyDescent="0.3">
      <c r="A272"/>
      <c r="C272" s="3"/>
      <c r="E272" s="1"/>
    </row>
    <row r="273" spans="1:5" x14ac:dyDescent="0.3">
      <c r="A273"/>
      <c r="C273" s="3"/>
      <c r="E273" s="1"/>
    </row>
    <row r="274" spans="1:5" x14ac:dyDescent="0.3">
      <c r="A274"/>
      <c r="C274" s="3"/>
      <c r="E274" s="1"/>
    </row>
    <row r="275" spans="1:5" x14ac:dyDescent="0.3">
      <c r="A275"/>
      <c r="C275" s="3"/>
      <c r="E275" s="1"/>
    </row>
    <row r="276" spans="1:5" x14ac:dyDescent="0.3">
      <c r="A276"/>
      <c r="C276" s="3"/>
      <c r="E276" s="1"/>
    </row>
    <row r="277" spans="1:5" x14ac:dyDescent="0.3">
      <c r="A277"/>
      <c r="C277" s="3"/>
      <c r="E277" s="1"/>
    </row>
    <row r="278" spans="1:5" x14ac:dyDescent="0.3">
      <c r="A278"/>
      <c r="C278" s="3"/>
      <c r="E278" s="1"/>
    </row>
    <row r="279" spans="1:5" x14ac:dyDescent="0.3">
      <c r="A279"/>
      <c r="C279" s="3"/>
      <c r="E279" s="1"/>
    </row>
    <row r="280" spans="1:5" x14ac:dyDescent="0.3">
      <c r="A280"/>
      <c r="C280" s="3"/>
      <c r="E280" s="1"/>
    </row>
    <row r="281" spans="1:5" x14ac:dyDescent="0.3">
      <c r="A281"/>
      <c r="C281" s="3"/>
      <c r="E281" s="1"/>
    </row>
    <row r="282" spans="1:5" x14ac:dyDescent="0.3">
      <c r="A282"/>
      <c r="C282" s="3"/>
      <c r="E282" s="1"/>
    </row>
    <row r="283" spans="1:5" x14ac:dyDescent="0.3">
      <c r="A283"/>
      <c r="C283" s="3"/>
      <c r="E283" s="1"/>
    </row>
    <row r="284" spans="1:5" x14ac:dyDescent="0.3">
      <c r="A284"/>
      <c r="C284" s="3"/>
      <c r="E284" s="1"/>
    </row>
    <row r="285" spans="1:5" x14ac:dyDescent="0.3">
      <c r="A285"/>
      <c r="C285" s="3"/>
      <c r="E285" s="1"/>
    </row>
    <row r="286" spans="1:5" ht="15" customHeight="1" x14ac:dyDescent="0.3">
      <c r="A286"/>
      <c r="C286" s="3"/>
      <c r="E286" s="1"/>
    </row>
    <row r="287" spans="1:5" x14ac:dyDescent="0.3">
      <c r="A287"/>
      <c r="C287" s="3"/>
      <c r="E287" s="1"/>
    </row>
    <row r="288" spans="1:5" x14ac:dyDescent="0.3">
      <c r="A288"/>
      <c r="C288" s="3"/>
      <c r="E288" s="1"/>
    </row>
    <row r="289" spans="1:5" x14ac:dyDescent="0.3">
      <c r="A289"/>
      <c r="C289" s="3"/>
      <c r="E289" s="1"/>
    </row>
    <row r="290" spans="1:5" x14ac:dyDescent="0.3">
      <c r="A290"/>
      <c r="C290" s="3"/>
      <c r="E290" s="1"/>
    </row>
    <row r="291" spans="1:5" x14ac:dyDescent="0.3">
      <c r="A291"/>
      <c r="C291" s="3"/>
      <c r="E291" s="1"/>
    </row>
    <row r="292" spans="1:5" x14ac:dyDescent="0.3">
      <c r="A292"/>
      <c r="C292" s="3"/>
      <c r="E292" s="1"/>
    </row>
    <row r="293" spans="1:5" x14ac:dyDescent="0.3">
      <c r="A293"/>
      <c r="C293" s="3"/>
      <c r="E293" s="1"/>
    </row>
    <row r="294" spans="1:5" x14ac:dyDescent="0.3">
      <c r="A294"/>
      <c r="C294" s="3"/>
      <c r="E294" s="1"/>
    </row>
    <row r="295" spans="1:5" x14ac:dyDescent="0.3">
      <c r="A295"/>
      <c r="C295" s="3"/>
      <c r="E295" s="1"/>
    </row>
    <row r="296" spans="1:5" x14ac:dyDescent="0.3">
      <c r="A296"/>
      <c r="C296" s="3"/>
      <c r="E296" s="1"/>
    </row>
    <row r="297" spans="1:5" x14ac:dyDescent="0.3">
      <c r="A297"/>
      <c r="C297" s="3"/>
      <c r="E297" s="1"/>
    </row>
    <row r="298" spans="1:5" x14ac:dyDescent="0.3">
      <c r="A298"/>
      <c r="C298" s="3"/>
      <c r="E298" s="1"/>
    </row>
    <row r="299" spans="1:5" x14ac:dyDescent="0.3">
      <c r="A299"/>
      <c r="C299" s="3"/>
      <c r="E299" s="1"/>
    </row>
    <row r="300" spans="1:5" x14ac:dyDescent="0.3">
      <c r="A300"/>
      <c r="C300" s="3"/>
      <c r="E300" s="1"/>
    </row>
    <row r="301" spans="1:5" x14ac:dyDescent="0.3">
      <c r="A301"/>
      <c r="C301" s="3"/>
      <c r="E301" s="1"/>
    </row>
    <row r="302" spans="1:5" ht="15" customHeight="1" x14ac:dyDescent="0.3">
      <c r="A302"/>
      <c r="C302" s="3"/>
      <c r="E302" s="1"/>
    </row>
    <row r="303" spans="1:5" x14ac:dyDescent="0.3">
      <c r="A303"/>
      <c r="C303" s="3"/>
      <c r="E303" s="1"/>
    </row>
    <row r="304" spans="1:5" x14ac:dyDescent="0.3">
      <c r="A304"/>
      <c r="C304" s="3"/>
      <c r="E304" s="1"/>
    </row>
    <row r="305" spans="1:5" x14ac:dyDescent="0.3">
      <c r="A305"/>
      <c r="C305" s="3"/>
      <c r="E305" s="1"/>
    </row>
    <row r="306" spans="1:5" x14ac:dyDescent="0.3">
      <c r="A306"/>
      <c r="C306" s="3"/>
      <c r="E306" s="1"/>
    </row>
    <row r="307" spans="1:5" x14ac:dyDescent="0.3">
      <c r="A307"/>
      <c r="C307" s="3"/>
      <c r="E307" s="1"/>
    </row>
    <row r="308" spans="1:5" x14ac:dyDescent="0.3">
      <c r="A308"/>
      <c r="C308" s="3"/>
      <c r="E308" s="1"/>
    </row>
    <row r="309" spans="1:5" x14ac:dyDescent="0.3">
      <c r="A309"/>
      <c r="C309" s="3"/>
      <c r="E309" s="1"/>
    </row>
    <row r="310" spans="1:5" x14ac:dyDescent="0.3">
      <c r="A310"/>
      <c r="C310" s="3"/>
      <c r="E310" s="1"/>
    </row>
    <row r="311" spans="1:5" x14ac:dyDescent="0.3">
      <c r="A311"/>
      <c r="C311" s="3"/>
      <c r="E311" s="1"/>
    </row>
    <row r="312" spans="1:5" x14ac:dyDescent="0.3">
      <c r="A312"/>
      <c r="C312" s="3"/>
      <c r="E312" s="1"/>
    </row>
    <row r="313" spans="1:5" x14ac:dyDescent="0.3">
      <c r="A313"/>
      <c r="C313" s="3"/>
      <c r="E313" s="1"/>
    </row>
    <row r="314" spans="1:5" x14ac:dyDescent="0.3">
      <c r="A314"/>
      <c r="C314" s="3"/>
      <c r="E314" s="1"/>
    </row>
    <row r="315" spans="1:5" x14ac:dyDescent="0.3">
      <c r="A315"/>
      <c r="C315" s="3"/>
      <c r="E315" s="1"/>
    </row>
    <row r="316" spans="1:5" x14ac:dyDescent="0.3">
      <c r="A316"/>
      <c r="C316" s="3"/>
      <c r="E316" s="1"/>
    </row>
  </sheetData>
  <mergeCells count="16">
    <mergeCell ref="L4:L13"/>
    <mergeCell ref="M4:M13"/>
    <mergeCell ref="N4:N13"/>
    <mergeCell ref="O4:O13"/>
    <mergeCell ref="K4:K13"/>
    <mergeCell ref="G1:J1"/>
    <mergeCell ref="D104:D105"/>
    <mergeCell ref="D97:D99"/>
    <mergeCell ref="D100:D103"/>
    <mergeCell ref="A16:A107"/>
    <mergeCell ref="A4:A13"/>
    <mergeCell ref="B4:B13"/>
    <mergeCell ref="C4:C13"/>
    <mergeCell ref="D52:D92"/>
    <mergeCell ref="D45:D51"/>
    <mergeCell ref="D17:D44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29"/>
  <sheetViews>
    <sheetView zoomScale="70" zoomScaleNormal="70" workbookViewId="0">
      <selection activeCell="A5" sqref="A5:G14"/>
    </sheetView>
  </sheetViews>
  <sheetFormatPr baseColWidth="10" defaultColWidth="11.5546875" defaultRowHeight="14.4" x14ac:dyDescent="0.3"/>
  <cols>
    <col min="1" max="1" width="43" style="29" bestFit="1" customWidth="1"/>
    <col min="2" max="2" width="66.33203125" bestFit="1" customWidth="1"/>
    <col min="3" max="3" width="34.44140625" style="1" bestFit="1" customWidth="1"/>
    <col min="4" max="4" width="25" bestFit="1" customWidth="1"/>
    <col min="5" max="5" width="36" bestFit="1" customWidth="1"/>
    <col min="6" max="6" width="40.6640625" bestFit="1" customWidth="1"/>
    <col min="7" max="7" width="16" customWidth="1"/>
  </cols>
  <sheetData>
    <row r="1" spans="1:7" s="17" customFormat="1" ht="15" thickBot="1" x14ac:dyDescent="0.35">
      <c r="A1" s="723" t="s">
        <v>4</v>
      </c>
      <c r="B1" s="720" t="s">
        <v>5</v>
      </c>
      <c r="C1" s="720" t="s">
        <v>10</v>
      </c>
      <c r="D1" s="720" t="s">
        <v>12</v>
      </c>
      <c r="E1" s="720" t="s">
        <v>13</v>
      </c>
      <c r="F1" s="720" t="s">
        <v>16</v>
      </c>
      <c r="G1" s="720" t="s">
        <v>17</v>
      </c>
    </row>
    <row r="2" spans="1:7" s="17" customFormat="1" x14ac:dyDescent="0.3">
      <c r="A2" s="766"/>
      <c r="B2" s="719"/>
      <c r="C2" s="719"/>
      <c r="D2" s="719"/>
      <c r="E2" s="719"/>
      <c r="F2" s="719"/>
      <c r="G2" s="870"/>
    </row>
    <row r="3" spans="1:7" s="17" customFormat="1" ht="15" thickBot="1" x14ac:dyDescent="0.35">
      <c r="A3" s="28"/>
      <c r="B3" s="148" t="s">
        <v>24</v>
      </c>
      <c r="C3" s="871">
        <f>SUM(C5:C14)</f>
        <v>13.881</v>
      </c>
      <c r="D3" s="872"/>
      <c r="E3" s="872"/>
      <c r="F3" s="872"/>
      <c r="G3" s="873"/>
    </row>
    <row r="4" spans="1:7" s="17" customFormat="1" ht="15" customHeight="1" thickBot="1" x14ac:dyDescent="0.35">
      <c r="A4" s="29"/>
      <c r="C4" s="3"/>
    </row>
    <row r="5" spans="1:7" s="17" customFormat="1" ht="15" customHeight="1" thickBot="1" x14ac:dyDescent="0.35">
      <c r="A5" s="882" t="s">
        <v>181</v>
      </c>
      <c r="B5" s="767" t="s">
        <v>182</v>
      </c>
      <c r="C5" s="648">
        <f>SUM('[1]CALCUL MASSE CABLE'!F57)</f>
        <v>3.3649999999999998</v>
      </c>
      <c r="D5" s="768"/>
      <c r="E5" s="883"/>
      <c r="F5" s="648">
        <v>176</v>
      </c>
      <c r="G5" s="648"/>
    </row>
    <row r="6" spans="1:7" s="17" customFormat="1" ht="15" thickBot="1" x14ac:dyDescent="0.35">
      <c r="A6" s="723" t="s">
        <v>172</v>
      </c>
      <c r="B6" s="698"/>
      <c r="C6" s="720">
        <v>2.5680000000000001</v>
      </c>
      <c r="D6" s="764"/>
      <c r="E6" s="764"/>
      <c r="F6" s="764"/>
      <c r="G6" s="874"/>
    </row>
    <row r="7" spans="1:7" s="17" customFormat="1" ht="80.099999999999994" customHeight="1" thickBot="1" x14ac:dyDescent="0.35">
      <c r="A7" s="723" t="s">
        <v>183</v>
      </c>
      <c r="B7" s="698"/>
      <c r="C7" s="726">
        <v>1.5</v>
      </c>
      <c r="D7" s="720" t="s">
        <v>184</v>
      </c>
      <c r="E7" s="721" t="s">
        <v>185</v>
      </c>
      <c r="F7" s="764"/>
      <c r="G7" s="874"/>
    </row>
    <row r="8" spans="1:7" s="17" customFormat="1" ht="80.099999999999994" customHeight="1" thickBot="1" x14ac:dyDescent="0.35">
      <c r="A8" s="875" t="s">
        <v>186</v>
      </c>
      <c r="B8" s="764"/>
      <c r="C8" s="720">
        <v>1.9279999999999999</v>
      </c>
      <c r="D8" s="713" t="s">
        <v>184</v>
      </c>
      <c r="E8" s="721" t="s">
        <v>185</v>
      </c>
      <c r="F8" s="764"/>
      <c r="G8" s="764"/>
    </row>
    <row r="9" spans="1:7" s="17" customFormat="1" ht="80.099999999999994" customHeight="1" thickBot="1" x14ac:dyDescent="0.35">
      <c r="A9" s="876" t="s">
        <v>187</v>
      </c>
      <c r="B9" s="698"/>
      <c r="C9" s="720">
        <v>0.45</v>
      </c>
      <c r="D9" s="713" t="s">
        <v>184</v>
      </c>
      <c r="E9" s="721" t="s">
        <v>185</v>
      </c>
      <c r="F9" s="764"/>
      <c r="G9" s="874"/>
    </row>
    <row r="10" spans="1:7" s="17" customFormat="1" ht="20.100000000000001" customHeight="1" thickBot="1" x14ac:dyDescent="0.35">
      <c r="A10" s="831" t="s">
        <v>188</v>
      </c>
      <c r="B10" s="698"/>
      <c r="C10" s="720">
        <v>0.8</v>
      </c>
      <c r="D10" s="877" t="s">
        <v>189</v>
      </c>
      <c r="E10" s="878" t="s">
        <v>190</v>
      </c>
      <c r="F10" s="764"/>
      <c r="G10" s="874"/>
    </row>
    <row r="11" spans="1:7" s="17" customFormat="1" ht="20.100000000000001" customHeight="1" thickBot="1" x14ac:dyDescent="0.35">
      <c r="A11" s="830" t="s">
        <v>191</v>
      </c>
      <c r="B11" s="831" t="s">
        <v>192</v>
      </c>
      <c r="C11" s="720">
        <v>0.2</v>
      </c>
      <c r="D11" s="726" t="s">
        <v>193</v>
      </c>
      <c r="E11" s="720" t="s">
        <v>194</v>
      </c>
      <c r="F11" s="764"/>
      <c r="G11" s="874"/>
    </row>
    <row r="12" spans="1:7" s="17" customFormat="1" ht="20.100000000000001" customHeight="1" thickBot="1" x14ac:dyDescent="0.35">
      <c r="A12" s="723" t="s">
        <v>195</v>
      </c>
      <c r="B12" s="698"/>
      <c r="C12" s="710">
        <v>7.0000000000000007E-2</v>
      </c>
      <c r="D12" s="698"/>
      <c r="E12" s="764"/>
      <c r="F12" s="698"/>
      <c r="G12" s="764"/>
    </row>
    <row r="13" spans="1:7" s="17" customFormat="1" ht="20.100000000000001" customHeight="1" thickBot="1" x14ac:dyDescent="0.35">
      <c r="A13" s="875" t="s">
        <v>196</v>
      </c>
      <c r="B13" s="831" t="s">
        <v>197</v>
      </c>
      <c r="C13" s="720">
        <v>1.5</v>
      </c>
      <c r="D13" s="764"/>
      <c r="E13" s="764"/>
      <c r="F13" s="764"/>
      <c r="G13" s="764"/>
    </row>
    <row r="14" spans="1:7" ht="15.75" customHeight="1" thickBot="1" x14ac:dyDescent="0.35">
      <c r="A14" s="876" t="s">
        <v>198</v>
      </c>
      <c r="B14" s="879" t="s">
        <v>199</v>
      </c>
      <c r="C14" s="880">
        <v>1.5</v>
      </c>
      <c r="D14" s="55"/>
      <c r="E14" s="55"/>
      <c r="F14" s="55"/>
      <c r="G14" s="57"/>
    </row>
    <row r="22" spans="1:7" x14ac:dyDescent="0.3">
      <c r="F22" s="17"/>
    </row>
    <row r="26" spans="1:7" x14ac:dyDescent="0.3">
      <c r="A26" s="881"/>
    </row>
    <row r="27" spans="1:7" x14ac:dyDescent="0.3">
      <c r="A27" s="881"/>
    </row>
    <row r="28" spans="1:7" x14ac:dyDescent="0.3">
      <c r="A28" s="881"/>
    </row>
    <row r="29" spans="1:7" s="3" customFormat="1" x14ac:dyDescent="0.3">
      <c r="A29" s="29"/>
      <c r="B29"/>
      <c r="C29" s="1"/>
      <c r="D29"/>
      <c r="E29"/>
      <c r="F29"/>
      <c r="G29"/>
    </row>
  </sheetData>
  <pageMargins left="0.7" right="0.7" top="0.75" bottom="0.75" header="0.3" footer="0.3"/>
  <pageSetup paperSize="9" orientation="portrait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K252"/>
  <sheetViews>
    <sheetView topLeftCell="C1" zoomScale="70" zoomScaleNormal="70" workbookViewId="0">
      <selection activeCell="E3" sqref="E3:E11"/>
    </sheetView>
  </sheetViews>
  <sheetFormatPr baseColWidth="10" defaultColWidth="11.44140625" defaultRowHeight="14.4" x14ac:dyDescent="0.3"/>
  <cols>
    <col min="1" max="1" width="20.109375" style="29" customWidth="1"/>
    <col min="2" max="2" width="88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36.5546875" bestFit="1" customWidth="1"/>
    <col min="10" max="10" width="45.10937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ht="15" thickBot="1" x14ac:dyDescent="0.35">
      <c r="A2" s="31"/>
      <c r="B2" s="113" t="s">
        <v>148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.75" customHeight="1" x14ac:dyDescent="0.3">
      <c r="A3" s="1071" t="s">
        <v>501</v>
      </c>
      <c r="B3" s="1025" t="s">
        <v>148</v>
      </c>
      <c r="C3" s="1034" t="s">
        <v>90</v>
      </c>
      <c r="D3" s="289" t="s">
        <v>234</v>
      </c>
      <c r="E3" s="125">
        <f>SUM(E4:E11)</f>
        <v>8.7082356000000001</v>
      </c>
      <c r="F3" s="1043"/>
      <c r="G3" s="1045" t="s">
        <v>502</v>
      </c>
      <c r="H3" s="1007" t="s">
        <v>66</v>
      </c>
      <c r="I3" s="1016" t="s">
        <v>67</v>
      </c>
      <c r="J3" s="1016">
        <v>295</v>
      </c>
      <c r="K3" s="1007" t="s">
        <v>30</v>
      </c>
    </row>
    <row r="4" spans="1:11" x14ac:dyDescent="0.3">
      <c r="A4" s="1113"/>
      <c r="B4" s="1026"/>
      <c r="C4" s="1035"/>
      <c r="D4" s="295" t="s">
        <v>60</v>
      </c>
      <c r="E4" s="296">
        <f>SUM(E15:E23)</f>
        <v>6.8720000000000017</v>
      </c>
      <c r="F4" s="985"/>
      <c r="G4" s="1046"/>
      <c r="H4" s="1008"/>
      <c r="I4" s="1017"/>
      <c r="J4" s="1017"/>
      <c r="K4" s="1008"/>
    </row>
    <row r="5" spans="1:11" x14ac:dyDescent="0.3">
      <c r="A5" s="1113"/>
      <c r="B5" s="1026"/>
      <c r="C5" s="1035"/>
      <c r="D5" s="317" t="s">
        <v>244</v>
      </c>
      <c r="E5" s="312">
        <f>SUM(E24:E25)</f>
        <v>4.7591999999999999E-3</v>
      </c>
      <c r="F5" s="985"/>
      <c r="G5" s="1046"/>
      <c r="H5" s="1008"/>
      <c r="I5" s="1145"/>
      <c r="J5" s="1145"/>
      <c r="K5" s="1008"/>
    </row>
    <row r="6" spans="1:11" x14ac:dyDescent="0.3">
      <c r="A6" s="1113"/>
      <c r="B6" s="1026"/>
      <c r="C6" s="1035"/>
      <c r="D6" s="316" t="s">
        <v>253</v>
      </c>
      <c r="E6" s="319">
        <f>SUM(E26:E35)</f>
        <v>4.3076099999999999E-2</v>
      </c>
      <c r="F6" s="985"/>
      <c r="G6" s="1046"/>
      <c r="H6" s="1008"/>
      <c r="I6" s="1145"/>
      <c r="J6" s="1145"/>
      <c r="K6" s="1008"/>
    </row>
    <row r="7" spans="1:11" x14ac:dyDescent="0.3">
      <c r="A7" s="1113"/>
      <c r="B7" s="1026"/>
      <c r="C7" s="1035"/>
      <c r="D7" s="321" t="s">
        <v>248</v>
      </c>
      <c r="E7" s="322">
        <f>SUM(E36:E36)</f>
        <v>4.0030000000000003E-4</v>
      </c>
      <c r="F7" s="985"/>
      <c r="G7" s="1046"/>
      <c r="H7" s="1008"/>
      <c r="I7" s="1145"/>
      <c r="J7" s="1145"/>
      <c r="K7" s="1008"/>
    </row>
    <row r="8" spans="1:11" x14ac:dyDescent="0.3">
      <c r="A8" s="1113"/>
      <c r="B8" s="1026"/>
      <c r="C8" s="1035"/>
      <c r="D8" s="318" t="s">
        <v>240</v>
      </c>
      <c r="E8" s="329">
        <f>SUM(E37:E37)</f>
        <v>0.01</v>
      </c>
      <c r="F8" s="985"/>
      <c r="G8" s="1046"/>
      <c r="H8" s="1008"/>
      <c r="I8" s="1145"/>
      <c r="J8" s="1145"/>
      <c r="K8" s="1008"/>
    </row>
    <row r="9" spans="1:11" x14ac:dyDescent="0.3">
      <c r="A9" s="1113"/>
      <c r="B9" s="1026"/>
      <c r="C9" s="1035"/>
      <c r="D9" s="334" t="s">
        <v>262</v>
      </c>
      <c r="E9" s="335">
        <f>SUM(E38)</f>
        <v>2E-3</v>
      </c>
      <c r="F9" s="985"/>
      <c r="G9" s="1046"/>
      <c r="H9" s="1008"/>
      <c r="I9" s="1145"/>
      <c r="J9" s="1145"/>
      <c r="K9" s="1008"/>
    </row>
    <row r="10" spans="1:11" x14ac:dyDescent="0.3">
      <c r="A10" s="1113"/>
      <c r="B10" s="1026"/>
      <c r="C10" s="1035"/>
      <c r="D10" s="291" t="s">
        <v>267</v>
      </c>
      <c r="E10" s="123">
        <f>SUM(E39:E41)</f>
        <v>1.3839999999999999</v>
      </c>
      <c r="F10" s="985"/>
      <c r="G10" s="1046"/>
      <c r="H10" s="1008"/>
      <c r="I10" s="1145"/>
      <c r="J10" s="1145"/>
      <c r="K10" s="1008"/>
    </row>
    <row r="11" spans="1:11" ht="15" thickBot="1" x14ac:dyDescent="0.35">
      <c r="A11" s="1072"/>
      <c r="B11" s="1027"/>
      <c r="C11" s="1036"/>
      <c r="D11" s="337" t="s">
        <v>282</v>
      </c>
      <c r="E11" s="338">
        <f>SUM(E42:E43)</f>
        <v>0.39200000000000002</v>
      </c>
      <c r="F11" s="1044"/>
      <c r="G11" s="1047"/>
      <c r="H11" s="1009"/>
      <c r="I11" s="1018"/>
      <c r="J11" s="1018"/>
      <c r="K11" s="1009"/>
    </row>
    <row r="12" spans="1:11" x14ac:dyDescent="0.3">
      <c r="A12" s="271"/>
      <c r="B12" s="161"/>
      <c r="C12" s="161"/>
      <c r="E12" s="1"/>
      <c r="F12" s="3"/>
      <c r="G12" s="142"/>
      <c r="H12" s="142"/>
      <c r="I12" s="142"/>
      <c r="J12" s="142"/>
    </row>
    <row r="13" spans="1:11" ht="15" thickBot="1" x14ac:dyDescent="0.35">
      <c r="A13"/>
      <c r="C13" s="3"/>
      <c r="E13" s="1"/>
      <c r="F13"/>
    </row>
    <row r="14" spans="1:11" x14ac:dyDescent="0.3">
      <c r="A14" s="1071" t="s">
        <v>144</v>
      </c>
      <c r="B14" s="83" t="s">
        <v>148</v>
      </c>
      <c r="C14" s="2"/>
      <c r="D14" s="141" t="s">
        <v>532</v>
      </c>
      <c r="E14" s="293">
        <f>SUM(E15:E43)</f>
        <v>8.7082356000000001</v>
      </c>
      <c r="F14" s="5"/>
      <c r="G14" s="38"/>
      <c r="H14" s="5"/>
      <c r="I14" s="5"/>
      <c r="J14" s="5"/>
      <c r="K14" s="6"/>
    </row>
    <row r="15" spans="1:11" x14ac:dyDescent="0.3">
      <c r="A15" s="1113"/>
      <c r="B15" s="183" t="s">
        <v>1114</v>
      </c>
      <c r="C15" s="3"/>
      <c r="D15" s="1155" t="s">
        <v>60</v>
      </c>
      <c r="E15" s="297">
        <v>4.5679999999999996</v>
      </c>
      <c r="F15"/>
      <c r="G15" s="17"/>
      <c r="K15" s="8"/>
    </row>
    <row r="16" spans="1:11" x14ac:dyDescent="0.3">
      <c r="A16" s="1113"/>
      <c r="B16" s="183" t="s">
        <v>1115</v>
      </c>
      <c r="C16" s="3"/>
      <c r="D16" s="1155"/>
      <c r="E16" s="297">
        <v>1.73</v>
      </c>
      <c r="F16"/>
      <c r="G16" s="17"/>
      <c r="K16" s="8"/>
    </row>
    <row r="17" spans="1:11" x14ac:dyDescent="0.3">
      <c r="A17" s="1113"/>
      <c r="B17" s="183" t="s">
        <v>1116</v>
      </c>
      <c r="C17" s="3"/>
      <c r="D17" s="1155"/>
      <c r="E17" s="297">
        <v>6.0000000000000001E-3</v>
      </c>
      <c r="F17"/>
      <c r="G17" s="17"/>
      <c r="K17" s="8"/>
    </row>
    <row r="18" spans="1:11" x14ac:dyDescent="0.3">
      <c r="A18" s="1113"/>
      <c r="B18" s="183" t="s">
        <v>1117</v>
      </c>
      <c r="C18" s="3"/>
      <c r="D18" s="1155"/>
      <c r="E18" s="297">
        <v>0.30099999999999999</v>
      </c>
      <c r="F18"/>
      <c r="G18" s="17"/>
      <c r="K18" s="8"/>
    </row>
    <row r="19" spans="1:11" x14ac:dyDescent="0.3">
      <c r="A19" s="1113"/>
      <c r="B19" s="183" t="s">
        <v>1118</v>
      </c>
      <c r="C19" s="3"/>
      <c r="D19" s="1155"/>
      <c r="E19" s="297">
        <v>0.03</v>
      </c>
      <c r="F19"/>
      <c r="G19" s="17"/>
      <c r="K19" s="8"/>
    </row>
    <row r="20" spans="1:11" x14ac:dyDescent="0.3">
      <c r="A20" s="1113"/>
      <c r="B20" s="183" t="s">
        <v>1119</v>
      </c>
      <c r="C20" s="3"/>
      <c r="D20" s="1155"/>
      <c r="E20" s="297">
        <v>9.4E-2</v>
      </c>
      <c r="F20"/>
      <c r="G20" s="17"/>
      <c r="K20" s="8"/>
    </row>
    <row r="21" spans="1:11" x14ac:dyDescent="0.3">
      <c r="A21" s="1113"/>
      <c r="B21" s="183" t="s">
        <v>1120</v>
      </c>
      <c r="C21" s="3"/>
      <c r="D21" s="1155"/>
      <c r="E21" s="297">
        <v>9.4E-2</v>
      </c>
      <c r="F21"/>
      <c r="G21" s="17"/>
      <c r="K21" s="8"/>
    </row>
    <row r="22" spans="1:11" x14ac:dyDescent="0.3">
      <c r="A22" s="1113"/>
      <c r="B22" s="183" t="s">
        <v>1121</v>
      </c>
      <c r="C22" s="3"/>
      <c r="D22" s="1155"/>
      <c r="E22" s="297">
        <v>4.5999999999999999E-2</v>
      </c>
      <c r="F22"/>
      <c r="G22" s="17"/>
      <c r="K22" s="8"/>
    </row>
    <row r="23" spans="1:11" x14ac:dyDescent="0.3">
      <c r="A23" s="1113"/>
      <c r="B23" s="183" t="s">
        <v>1122</v>
      </c>
      <c r="C23" s="3"/>
      <c r="D23" s="1155"/>
      <c r="E23" s="297">
        <v>3.0000000000000001E-3</v>
      </c>
      <c r="F23"/>
      <c r="G23" s="17"/>
      <c r="K23" s="8"/>
    </row>
    <row r="24" spans="1:11" x14ac:dyDescent="0.3">
      <c r="A24" s="1113"/>
      <c r="B24" s="192" t="s">
        <v>1123</v>
      </c>
      <c r="C24" s="3"/>
      <c r="D24" s="1178" t="s">
        <v>244</v>
      </c>
      <c r="E24" s="311">
        <v>4.0000000000000001E-3</v>
      </c>
      <c r="F24"/>
      <c r="G24" s="17"/>
      <c r="K24" s="8"/>
    </row>
    <row r="25" spans="1:11" x14ac:dyDescent="0.3">
      <c r="A25" s="1113"/>
      <c r="B25" s="192" t="s">
        <v>1124</v>
      </c>
      <c r="C25" s="3"/>
      <c r="D25" s="1098"/>
      <c r="E25" s="311">
        <v>7.5920000000000002E-4</v>
      </c>
      <c r="F25"/>
      <c r="G25" s="17"/>
      <c r="K25" s="8"/>
    </row>
    <row r="26" spans="1:11" x14ac:dyDescent="0.3">
      <c r="A26" s="1113"/>
      <c r="B26" s="193" t="s">
        <v>1069</v>
      </c>
      <c r="C26" s="3"/>
      <c r="D26" s="1096" t="s">
        <v>253</v>
      </c>
      <c r="E26" s="313">
        <v>3.0000000000000001E-3</v>
      </c>
      <c r="F26"/>
      <c r="G26" s="17"/>
      <c r="K26" s="8"/>
    </row>
    <row r="27" spans="1:11" x14ac:dyDescent="0.3">
      <c r="A27" s="1113"/>
      <c r="B27" s="193" t="s">
        <v>1125</v>
      </c>
      <c r="C27" s="3"/>
      <c r="D27" s="1096"/>
      <c r="E27" s="313">
        <v>4.0000000000000001E-3</v>
      </c>
      <c r="F27"/>
      <c r="G27" s="17"/>
      <c r="K27" s="8"/>
    </row>
    <row r="28" spans="1:11" x14ac:dyDescent="0.3">
      <c r="A28" s="1113"/>
      <c r="B28" s="193" t="s">
        <v>1126</v>
      </c>
      <c r="C28" s="3"/>
      <c r="D28" s="1096"/>
      <c r="E28" s="313">
        <v>8.0000000000000002E-3</v>
      </c>
      <c r="F28"/>
      <c r="G28" s="17"/>
      <c r="K28" s="8"/>
    </row>
    <row r="29" spans="1:11" x14ac:dyDescent="0.3">
      <c r="A29" s="1113"/>
      <c r="B29" s="193" t="s">
        <v>811</v>
      </c>
      <c r="C29" s="3"/>
      <c r="D29" s="1096"/>
      <c r="E29" s="313">
        <v>2E-3</v>
      </c>
      <c r="F29"/>
      <c r="G29" s="17"/>
      <c r="K29" s="8"/>
    </row>
    <row r="30" spans="1:11" x14ac:dyDescent="0.3">
      <c r="A30" s="1113"/>
      <c r="B30" s="193" t="s">
        <v>1127</v>
      </c>
      <c r="C30" s="3"/>
      <c r="D30" s="1096"/>
      <c r="E30" s="313">
        <v>3.0000000000000001E-3</v>
      </c>
      <c r="F30"/>
      <c r="G30" s="17"/>
      <c r="K30" s="8"/>
    </row>
    <row r="31" spans="1:11" x14ac:dyDescent="0.3">
      <c r="A31" s="1113"/>
      <c r="B31" s="193" t="s">
        <v>757</v>
      </c>
      <c r="C31" s="3"/>
      <c r="D31" s="1096"/>
      <c r="E31" s="313">
        <v>5.1290000000000005E-4</v>
      </c>
      <c r="F31"/>
      <c r="G31" s="17"/>
      <c r="K31" s="8"/>
    </row>
    <row r="32" spans="1:11" x14ac:dyDescent="0.3">
      <c r="A32" s="1113"/>
      <c r="B32" s="193" t="s">
        <v>1128</v>
      </c>
      <c r="C32" s="3"/>
      <c r="D32" s="1096"/>
      <c r="E32" s="313">
        <v>1E-3</v>
      </c>
      <c r="F32"/>
      <c r="G32" s="17"/>
      <c r="K32" s="8"/>
    </row>
    <row r="33" spans="1:11" x14ac:dyDescent="0.3">
      <c r="A33" s="1113"/>
      <c r="B33" s="193" t="s">
        <v>1129</v>
      </c>
      <c r="C33" s="3"/>
      <c r="D33" s="1096"/>
      <c r="E33" s="313">
        <v>5.6320000000000003E-4</v>
      </c>
      <c r="F33"/>
      <c r="G33" s="17"/>
      <c r="K33" s="8"/>
    </row>
    <row r="34" spans="1:11" x14ac:dyDescent="0.3">
      <c r="A34" s="1113"/>
      <c r="B34" s="193" t="s">
        <v>1130</v>
      </c>
      <c r="C34" s="3"/>
      <c r="D34" s="1096"/>
      <c r="E34" s="313">
        <v>1.2999999999999999E-2</v>
      </c>
      <c r="F34"/>
      <c r="G34" s="17"/>
      <c r="K34" s="8"/>
    </row>
    <row r="35" spans="1:11" x14ac:dyDescent="0.3">
      <c r="A35" s="1113"/>
      <c r="B35" s="193" t="s">
        <v>1131</v>
      </c>
      <c r="C35" s="3"/>
      <c r="D35" s="1096"/>
      <c r="E35" s="313">
        <v>8.0000000000000002E-3</v>
      </c>
      <c r="F35"/>
      <c r="G35" s="17"/>
      <c r="K35" s="8"/>
    </row>
    <row r="36" spans="1:11" x14ac:dyDescent="0.3">
      <c r="A36" s="1113"/>
      <c r="B36" s="324" t="s">
        <v>1132</v>
      </c>
      <c r="C36" s="3"/>
      <c r="D36" s="167" t="s">
        <v>248</v>
      </c>
      <c r="E36" s="323">
        <v>4.0030000000000003E-4</v>
      </c>
      <c r="F36"/>
      <c r="G36" s="17"/>
      <c r="K36" s="8"/>
    </row>
    <row r="37" spans="1:11" x14ac:dyDescent="0.3">
      <c r="A37" s="1113"/>
      <c r="B37" s="164" t="s">
        <v>1111</v>
      </c>
      <c r="C37" s="3"/>
      <c r="D37" s="65" t="s">
        <v>240</v>
      </c>
      <c r="E37" s="327">
        <v>0.01</v>
      </c>
      <c r="F37"/>
      <c r="G37" s="17"/>
      <c r="K37" s="8"/>
    </row>
    <row r="38" spans="1:11" x14ac:dyDescent="0.3">
      <c r="A38" s="1113"/>
      <c r="B38" s="88" t="s">
        <v>1133</v>
      </c>
      <c r="C38" s="3"/>
      <c r="D38" s="79" t="s">
        <v>262</v>
      </c>
      <c r="E38" s="326">
        <v>2E-3</v>
      </c>
      <c r="F38"/>
      <c r="G38" s="17"/>
      <c r="K38" s="8"/>
    </row>
    <row r="39" spans="1:11" x14ac:dyDescent="0.3">
      <c r="A39" s="1113"/>
      <c r="B39" s="112" t="s">
        <v>1134</v>
      </c>
      <c r="C39" s="3"/>
      <c r="D39" s="1032" t="s">
        <v>267</v>
      </c>
      <c r="E39" s="336">
        <v>8.0000000000000002E-3</v>
      </c>
      <c r="F39"/>
      <c r="G39" s="17"/>
      <c r="K39" s="8"/>
    </row>
    <row r="40" spans="1:11" x14ac:dyDescent="0.3">
      <c r="A40" s="1113"/>
      <c r="B40" s="112" t="s">
        <v>1135</v>
      </c>
      <c r="C40" s="3"/>
      <c r="D40" s="1032"/>
      <c r="E40" s="336">
        <v>0.224</v>
      </c>
      <c r="F40"/>
      <c r="G40" s="17"/>
      <c r="K40" s="8"/>
    </row>
    <row r="41" spans="1:11" x14ac:dyDescent="0.3">
      <c r="A41" s="1113"/>
      <c r="B41" s="112" t="s">
        <v>1136</v>
      </c>
      <c r="C41" s="3"/>
      <c r="D41" s="1032"/>
      <c r="E41" s="336">
        <v>1.1519999999999999</v>
      </c>
      <c r="F41"/>
      <c r="G41" s="17"/>
      <c r="K41" s="8"/>
    </row>
    <row r="42" spans="1:11" x14ac:dyDescent="0.3">
      <c r="A42" s="1113"/>
      <c r="B42" s="111" t="s">
        <v>1137</v>
      </c>
      <c r="C42" s="196"/>
      <c r="D42" s="1179" t="s">
        <v>282</v>
      </c>
      <c r="E42" s="109">
        <v>0.33400000000000002</v>
      </c>
      <c r="F42"/>
      <c r="G42" s="17"/>
      <c r="K42" s="8"/>
    </row>
    <row r="43" spans="1:11" ht="15" thickBot="1" x14ac:dyDescent="0.35">
      <c r="A43" s="1072"/>
      <c r="B43" s="331" t="s">
        <v>1138</v>
      </c>
      <c r="C43" s="332"/>
      <c r="D43" s="1180"/>
      <c r="E43" s="333">
        <v>5.8000000000000003E-2</v>
      </c>
      <c r="F43" s="9"/>
      <c r="G43" s="163"/>
      <c r="H43" s="9"/>
      <c r="I43" s="9"/>
      <c r="J43" s="9"/>
      <c r="K43" s="10"/>
    </row>
    <row r="44" spans="1:11" x14ac:dyDescent="0.3">
      <c r="A44"/>
      <c r="C44"/>
      <c r="E44"/>
      <c r="F44"/>
    </row>
    <row r="45" spans="1:11" x14ac:dyDescent="0.3">
      <c r="A45"/>
      <c r="C45"/>
      <c r="E45"/>
      <c r="F45"/>
    </row>
    <row r="46" spans="1:11" x14ac:dyDescent="0.3">
      <c r="A46"/>
      <c r="C46"/>
      <c r="E46"/>
      <c r="F46"/>
    </row>
    <row r="47" spans="1:11" x14ac:dyDescent="0.3">
      <c r="A47"/>
      <c r="C47"/>
      <c r="E47"/>
      <c r="F47"/>
    </row>
    <row r="48" spans="1:11" x14ac:dyDescent="0.3">
      <c r="A48"/>
      <c r="C48"/>
      <c r="E48"/>
      <c r="F48"/>
    </row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ht="15" customHeigh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ht="15" customHeight="1" x14ac:dyDescent="0.3"/>
    <row r="86" customFormat="1" x14ac:dyDescent="0.3"/>
    <row r="87" customFormat="1" x14ac:dyDescent="0.3"/>
    <row r="88" customFormat="1" x14ac:dyDescent="0.3"/>
    <row r="89" customFormat="1" ht="15" customHeight="1" x14ac:dyDescent="0.3"/>
    <row r="90" customFormat="1" x14ac:dyDescent="0.3"/>
    <row r="91" customFormat="1" x14ac:dyDescent="0.3"/>
    <row r="92" customFormat="1" ht="15" customHeigh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ht="15" customHeight="1" x14ac:dyDescent="0.3"/>
    <row r="128" customFormat="1" x14ac:dyDescent="0.3"/>
    <row r="129" customFormat="1" x14ac:dyDescent="0.3"/>
    <row r="130" customFormat="1" ht="15" customHeigh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ht="15" customHeigh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ht="15" customHeight="1" x14ac:dyDescent="0.3"/>
    <row r="159" customFormat="1" x14ac:dyDescent="0.3"/>
    <row r="160" customFormat="1" x14ac:dyDescent="0.3"/>
    <row r="161" spans="1:6" customFormat="1" x14ac:dyDescent="0.3"/>
    <row r="162" spans="1:6" customFormat="1" x14ac:dyDescent="0.3"/>
    <row r="163" spans="1:6" customFormat="1" x14ac:dyDescent="0.3"/>
    <row r="164" spans="1:6" customFormat="1" x14ac:dyDescent="0.3"/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ht="15" customHeight="1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  <row r="238" spans="1:6" ht="15" customHeight="1" x14ac:dyDescent="0.3">
      <c r="A238"/>
      <c r="C238" s="3"/>
      <c r="E238" s="1"/>
      <c r="F238"/>
    </row>
    <row r="239" spans="1:6" x14ac:dyDescent="0.3">
      <c r="A239"/>
      <c r="C239" s="3"/>
      <c r="E239" s="1"/>
      <c r="F239"/>
    </row>
    <row r="240" spans="1:6" x14ac:dyDescent="0.3">
      <c r="A240"/>
      <c r="C240" s="3"/>
      <c r="E240" s="1"/>
      <c r="F240"/>
    </row>
    <row r="241" spans="1:6" x14ac:dyDescent="0.3">
      <c r="A241"/>
      <c r="C241" s="3"/>
      <c r="E241" s="1"/>
      <c r="F241"/>
    </row>
    <row r="242" spans="1:6" x14ac:dyDescent="0.3">
      <c r="A242"/>
      <c r="C242" s="3"/>
      <c r="E242" s="1"/>
      <c r="F242"/>
    </row>
    <row r="243" spans="1:6" x14ac:dyDescent="0.3">
      <c r="A243"/>
      <c r="C243" s="3"/>
      <c r="E243" s="1"/>
      <c r="F243"/>
    </row>
    <row r="244" spans="1:6" x14ac:dyDescent="0.3">
      <c r="A244"/>
      <c r="C244" s="3"/>
      <c r="E244" s="1"/>
      <c r="F244"/>
    </row>
    <row r="245" spans="1:6" x14ac:dyDescent="0.3">
      <c r="A245"/>
      <c r="C245" s="3"/>
      <c r="E245" s="1"/>
      <c r="F245"/>
    </row>
    <row r="246" spans="1:6" x14ac:dyDescent="0.3">
      <c r="A246"/>
      <c r="C246" s="3"/>
      <c r="E246" s="1"/>
      <c r="F246"/>
    </row>
    <row r="247" spans="1:6" x14ac:dyDescent="0.3">
      <c r="A247"/>
      <c r="C247" s="3"/>
      <c r="E247" s="1"/>
      <c r="F247"/>
    </row>
    <row r="248" spans="1:6" x14ac:dyDescent="0.3">
      <c r="A248"/>
      <c r="C248" s="3"/>
      <c r="E248" s="1"/>
      <c r="F248"/>
    </row>
    <row r="249" spans="1:6" x14ac:dyDescent="0.3">
      <c r="A249"/>
      <c r="C249" s="3"/>
      <c r="E249" s="1"/>
      <c r="F249"/>
    </row>
    <row r="250" spans="1:6" x14ac:dyDescent="0.3">
      <c r="A250"/>
      <c r="C250" s="3"/>
      <c r="E250" s="1"/>
      <c r="F250"/>
    </row>
    <row r="251" spans="1:6" x14ac:dyDescent="0.3">
      <c r="A251"/>
      <c r="C251" s="3"/>
      <c r="E251" s="1"/>
      <c r="F251"/>
    </row>
    <row r="252" spans="1:6" x14ac:dyDescent="0.3">
      <c r="A252"/>
      <c r="C252" s="3"/>
      <c r="E252" s="1"/>
      <c r="F252"/>
    </row>
  </sheetData>
  <mergeCells count="15">
    <mergeCell ref="K3:K11"/>
    <mergeCell ref="A14:A43"/>
    <mergeCell ref="D15:D23"/>
    <mergeCell ref="D24:D25"/>
    <mergeCell ref="D26:D35"/>
    <mergeCell ref="A3:A11"/>
    <mergeCell ref="B3:B11"/>
    <mergeCell ref="C3:C11"/>
    <mergeCell ref="F3:F11"/>
    <mergeCell ref="G3:G11"/>
    <mergeCell ref="D39:D41"/>
    <mergeCell ref="D42:D43"/>
    <mergeCell ref="H3:H11"/>
    <mergeCell ref="I3:I11"/>
    <mergeCell ref="J3:J11"/>
  </mergeCells>
  <pageMargins left="0.7" right="0.7" top="0.75" bottom="0.75" header="0.3" footer="0.3"/>
  <pageSetup paperSize="9"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K230"/>
  <sheetViews>
    <sheetView topLeftCell="C1" zoomScale="70" zoomScaleNormal="70" workbookViewId="0">
      <selection activeCell="E4" sqref="E4:E8"/>
    </sheetView>
  </sheetViews>
  <sheetFormatPr baseColWidth="10" defaultColWidth="11.44140625" defaultRowHeight="14.4" x14ac:dyDescent="0.3"/>
  <cols>
    <col min="1" max="1" width="26.3320312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22.5546875" customWidth="1"/>
    <col min="10" max="10" width="40.664062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156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155</v>
      </c>
      <c r="B4" s="1025" t="s">
        <v>156</v>
      </c>
      <c r="C4" s="1034" t="s">
        <v>157</v>
      </c>
      <c r="D4" s="125" t="s">
        <v>234</v>
      </c>
      <c r="E4" s="125">
        <f>SUM(E5:E9)</f>
        <v>1.3809999999999998</v>
      </c>
      <c r="F4" s="1043"/>
      <c r="G4" s="1007" t="s">
        <v>504</v>
      </c>
      <c r="H4" s="1007" t="s">
        <v>160</v>
      </c>
      <c r="I4" s="1181" t="s">
        <v>161</v>
      </c>
      <c r="J4" s="1016">
        <v>1800</v>
      </c>
      <c r="K4" s="1136" t="s">
        <v>44</v>
      </c>
    </row>
    <row r="5" spans="1:11" x14ac:dyDescent="0.3">
      <c r="A5" s="1113"/>
      <c r="B5" s="1026"/>
      <c r="C5" s="1035"/>
      <c r="D5" s="340" t="s">
        <v>249</v>
      </c>
      <c r="E5" s="340">
        <f>SUM(E13)</f>
        <v>1.0049999999999999</v>
      </c>
      <c r="F5" s="985"/>
      <c r="G5" s="1008"/>
      <c r="H5" s="1008"/>
      <c r="I5" s="1182"/>
      <c r="J5" s="1145"/>
      <c r="K5" s="1142"/>
    </row>
    <row r="6" spans="1:11" x14ac:dyDescent="0.3">
      <c r="A6" s="1113"/>
      <c r="B6" s="1026"/>
      <c r="C6" s="1035"/>
      <c r="D6" s="345" t="s">
        <v>266</v>
      </c>
      <c r="E6" s="345">
        <f>SUM(E14:E15)</f>
        <v>0.30499999999999999</v>
      </c>
      <c r="F6" s="985"/>
      <c r="G6" s="1008"/>
      <c r="H6" s="1008"/>
      <c r="I6" s="1182"/>
      <c r="J6" s="1145"/>
      <c r="K6" s="1142"/>
    </row>
    <row r="7" spans="1:11" x14ac:dyDescent="0.3">
      <c r="A7" s="1113"/>
      <c r="B7" s="1026"/>
      <c r="C7" s="1035"/>
      <c r="D7" s="350" t="s">
        <v>506</v>
      </c>
      <c r="E7" s="350">
        <f>SUM(E16)</f>
        <v>3.4000000000000002E-2</v>
      </c>
      <c r="F7" s="985"/>
      <c r="G7" s="1008"/>
      <c r="H7" s="1008"/>
      <c r="I7" s="1182"/>
      <c r="J7" s="1145"/>
      <c r="K7" s="1142"/>
    </row>
    <row r="8" spans="1:11" x14ac:dyDescent="0.3">
      <c r="A8" s="1113"/>
      <c r="B8" s="1026"/>
      <c r="C8" s="1035"/>
      <c r="D8" s="353" t="s">
        <v>335</v>
      </c>
      <c r="E8" s="353">
        <f>SUM(E17)</f>
        <v>3.6999999999999998E-2</v>
      </c>
      <c r="F8" s="985"/>
      <c r="G8" s="1008"/>
      <c r="H8" s="1008"/>
      <c r="I8" s="1182"/>
      <c r="J8" s="1145"/>
      <c r="K8" s="1142"/>
    </row>
    <row r="9" spans="1:11" x14ac:dyDescent="0.3">
      <c r="A9" s="1113"/>
      <c r="B9" s="1026"/>
      <c r="C9" s="1035"/>
      <c r="D9" s="123"/>
      <c r="E9" s="123"/>
      <c r="F9" s="985"/>
      <c r="G9" s="1008"/>
      <c r="H9" s="1008"/>
      <c r="I9" s="1182"/>
      <c r="J9" s="1145"/>
      <c r="K9" s="1142"/>
    </row>
    <row r="10" spans="1:11" ht="15" thickBot="1" x14ac:dyDescent="0.35">
      <c r="A10" s="1072"/>
      <c r="B10" s="1027"/>
      <c r="C10" s="1036"/>
      <c r="D10" s="80"/>
      <c r="E10" s="53"/>
      <c r="F10" s="1044"/>
      <c r="G10" s="1009"/>
      <c r="H10" s="1009"/>
      <c r="I10" s="1183"/>
      <c r="J10" s="1018"/>
      <c r="K10" s="1138"/>
    </row>
    <row r="11" spans="1:11" ht="15" thickBot="1" x14ac:dyDescent="0.35">
      <c r="A11"/>
      <c r="C11" s="3"/>
      <c r="E11" s="1"/>
      <c r="F11"/>
    </row>
    <row r="12" spans="1:11" x14ac:dyDescent="0.3">
      <c r="A12" s="1071" t="s">
        <v>155</v>
      </c>
      <c r="B12" s="83" t="s">
        <v>156</v>
      </c>
      <c r="C12" s="44"/>
      <c r="D12" s="90" t="s">
        <v>532</v>
      </c>
      <c r="E12" s="92">
        <f>SUM(E13:E17)</f>
        <v>1.3809999999999998</v>
      </c>
      <c r="F12" s="5"/>
      <c r="G12" s="38"/>
      <c r="H12" s="5"/>
      <c r="I12" s="5"/>
      <c r="J12" s="5"/>
      <c r="K12" s="6"/>
    </row>
    <row r="13" spans="1:11" x14ac:dyDescent="0.3">
      <c r="A13" s="1113"/>
      <c r="B13" s="341" t="s">
        <v>1139</v>
      </c>
      <c r="C13" s="69"/>
      <c r="D13" s="342" t="s">
        <v>249</v>
      </c>
      <c r="E13" s="343">
        <v>1.0049999999999999</v>
      </c>
      <c r="F13" s="3"/>
      <c r="G13" s="3"/>
      <c r="K13" s="8"/>
    </row>
    <row r="14" spans="1:11" x14ac:dyDescent="0.3">
      <c r="A14" s="1113"/>
      <c r="B14" s="347" t="s">
        <v>1140</v>
      </c>
      <c r="C14" s="3"/>
      <c r="D14" s="1184" t="s">
        <v>266</v>
      </c>
      <c r="E14" s="346">
        <v>0.28799999999999998</v>
      </c>
      <c r="F14" s="3"/>
      <c r="K14" s="8"/>
    </row>
    <row r="15" spans="1:11" x14ac:dyDescent="0.3">
      <c r="A15" s="1113"/>
      <c r="B15" s="347" t="s">
        <v>1141</v>
      </c>
      <c r="C15" s="3"/>
      <c r="D15" s="1184"/>
      <c r="E15" s="346">
        <v>1.7000000000000001E-2</v>
      </c>
      <c r="F15" s="3"/>
      <c r="K15" s="8"/>
    </row>
    <row r="16" spans="1:11" x14ac:dyDescent="0.3">
      <c r="A16" s="1113"/>
      <c r="B16" s="348" t="s">
        <v>1142</v>
      </c>
      <c r="C16" s="3"/>
      <c r="D16" s="349" t="s">
        <v>506</v>
      </c>
      <c r="E16" s="349">
        <v>3.4000000000000002E-2</v>
      </c>
      <c r="F16" s="3"/>
      <c r="K16" s="8"/>
    </row>
    <row r="17" spans="1:11" x14ac:dyDescent="0.3">
      <c r="A17" s="1113"/>
      <c r="B17" s="352" t="s">
        <v>1143</v>
      </c>
      <c r="C17" s="3"/>
      <c r="D17" s="351" t="s">
        <v>335</v>
      </c>
      <c r="E17" s="351">
        <v>3.6999999999999998E-2</v>
      </c>
      <c r="F17" s="3"/>
      <c r="K17" s="8"/>
    </row>
    <row r="18" spans="1:11" x14ac:dyDescent="0.3">
      <c r="A18" s="1113"/>
      <c r="B18" s="112"/>
      <c r="C18" s="3"/>
      <c r="D18" s="119"/>
      <c r="E18" s="119"/>
      <c r="F18" s="3"/>
      <c r="K18" s="8"/>
    </row>
    <row r="19" spans="1:11" x14ac:dyDescent="0.3">
      <c r="A19" s="1113"/>
      <c r="B19" s="112"/>
      <c r="C19" s="3"/>
      <c r="D19" s="119"/>
      <c r="E19" s="119"/>
      <c r="F19" s="3"/>
      <c r="K19" s="8"/>
    </row>
    <row r="20" spans="1:11" x14ac:dyDescent="0.3">
      <c r="A20" s="1113"/>
      <c r="B20" s="112"/>
      <c r="C20" s="3"/>
      <c r="D20" s="119"/>
      <c r="E20" s="119"/>
      <c r="F20" s="3"/>
      <c r="K20" s="8"/>
    </row>
    <row r="21" spans="1:11" ht="15" thickBot="1" x14ac:dyDescent="0.35">
      <c r="A21" s="1072"/>
      <c r="B21" s="89"/>
      <c r="C21" s="9"/>
      <c r="D21" s="91"/>
      <c r="E21" s="91"/>
      <c r="F21" s="9"/>
      <c r="G21" s="9"/>
      <c r="H21" s="9"/>
      <c r="I21" s="9"/>
      <c r="J21" s="9"/>
      <c r="K21" s="10"/>
    </row>
    <row r="22" spans="1:11" x14ac:dyDescent="0.3">
      <c r="A22"/>
      <c r="C22"/>
      <c r="E22"/>
      <c r="F22"/>
    </row>
    <row r="23" spans="1:11" x14ac:dyDescent="0.3">
      <c r="A23"/>
      <c r="C23"/>
      <c r="E23"/>
      <c r="F23"/>
    </row>
    <row r="24" spans="1:11" x14ac:dyDescent="0.3">
      <c r="A24"/>
      <c r="C24"/>
      <c r="E24"/>
      <c r="F24"/>
    </row>
    <row r="25" spans="1:11" x14ac:dyDescent="0.3">
      <c r="A25"/>
      <c r="C25"/>
      <c r="E25"/>
      <c r="F25"/>
    </row>
    <row r="26" spans="1:11" x14ac:dyDescent="0.3">
      <c r="A26"/>
      <c r="C26"/>
      <c r="E26"/>
      <c r="F26"/>
    </row>
    <row r="27" spans="1:11" x14ac:dyDescent="0.3">
      <c r="A27"/>
      <c r="C27"/>
      <c r="E27"/>
      <c r="F27"/>
    </row>
    <row r="28" spans="1:11" x14ac:dyDescent="0.3">
      <c r="A28"/>
      <c r="C28"/>
      <c r="E28"/>
      <c r="F28"/>
    </row>
    <row r="29" spans="1:11" x14ac:dyDescent="0.3">
      <c r="A29"/>
      <c r="C29"/>
      <c r="E29"/>
      <c r="F29"/>
    </row>
    <row r="30" spans="1:11" x14ac:dyDescent="0.3">
      <c r="A30"/>
      <c r="C30"/>
      <c r="E30"/>
      <c r="F30"/>
    </row>
    <row r="31" spans="1:11" x14ac:dyDescent="0.3">
      <c r="A31"/>
      <c r="C31"/>
      <c r="E31"/>
      <c r="F31"/>
    </row>
    <row r="32" spans="1:11" x14ac:dyDescent="0.3">
      <c r="A32"/>
      <c r="C32"/>
      <c r="E32"/>
      <c r="F32"/>
    </row>
    <row r="33" customFormat="1" x14ac:dyDescent="0.3"/>
    <row r="34" customFormat="1" x14ac:dyDescent="0.3"/>
    <row r="35" customFormat="1" ht="15" customHeigh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ht="15" customHeight="1" x14ac:dyDescent="0.3"/>
    <row r="64" customFormat="1" x14ac:dyDescent="0.3"/>
    <row r="65" customFormat="1" x14ac:dyDescent="0.3"/>
    <row r="66" customFormat="1" x14ac:dyDescent="0.3"/>
    <row r="67" customFormat="1" ht="15" customHeight="1" x14ac:dyDescent="0.3"/>
    <row r="68" customFormat="1" x14ac:dyDescent="0.3"/>
    <row r="69" customFormat="1" x14ac:dyDescent="0.3"/>
    <row r="70" customFormat="1" ht="15" customHeigh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ht="15" customHeight="1" x14ac:dyDescent="0.3"/>
    <row r="106" customFormat="1" x14ac:dyDescent="0.3"/>
    <row r="107" customFormat="1" x14ac:dyDescent="0.3"/>
    <row r="108" customFormat="1" ht="15" customHeigh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ht="15" customHeigh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spans="1:6" customForma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x14ac:dyDescent="0.3"/>
    <row r="134" spans="1:6" customFormat="1" x14ac:dyDescent="0.3"/>
    <row r="135" spans="1:6" customFormat="1" x14ac:dyDescent="0.3"/>
    <row r="136" spans="1:6" customFormat="1" ht="15" customHeight="1" x14ac:dyDescent="0.3"/>
    <row r="137" spans="1:6" customFormat="1" x14ac:dyDescent="0.3"/>
    <row r="138" spans="1:6" customFormat="1" x14ac:dyDescent="0.3"/>
    <row r="139" spans="1:6" customFormat="1" x14ac:dyDescent="0.3"/>
    <row r="140" spans="1:6" customFormat="1" x14ac:dyDescent="0.3"/>
    <row r="141" spans="1:6" customFormat="1" x14ac:dyDescent="0.3"/>
    <row r="142" spans="1:6" customFormat="1" x14ac:dyDescent="0.3"/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ht="15" customHeight="1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ht="15" customHeight="1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</sheetData>
  <mergeCells count="11">
    <mergeCell ref="H4:H10"/>
    <mergeCell ref="I4:I10"/>
    <mergeCell ref="J4:J10"/>
    <mergeCell ref="K4:K10"/>
    <mergeCell ref="A12:A21"/>
    <mergeCell ref="D14:D15"/>
    <mergeCell ref="A4:A10"/>
    <mergeCell ref="B4:B10"/>
    <mergeCell ref="C4:C10"/>
    <mergeCell ref="F4:F10"/>
    <mergeCell ref="G4:G10"/>
  </mergeCells>
  <pageMargins left="0.7" right="0.7" top="0.75" bottom="0.75" header="0.3" footer="0.3"/>
  <pageSetup paperSize="9"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K229"/>
  <sheetViews>
    <sheetView topLeftCell="C1" zoomScale="70" zoomScaleNormal="70" workbookViewId="0">
      <selection activeCell="E4" sqref="E4:E8"/>
    </sheetView>
  </sheetViews>
  <sheetFormatPr baseColWidth="10" defaultColWidth="11.44140625" defaultRowHeight="14.4" x14ac:dyDescent="0.3"/>
  <cols>
    <col min="1" max="1" width="26.3320312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22.5546875" customWidth="1"/>
    <col min="10" max="10" width="40.664062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163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162</v>
      </c>
      <c r="B4" s="1025" t="s">
        <v>163</v>
      </c>
      <c r="C4" s="1034" t="s">
        <v>157</v>
      </c>
      <c r="D4" s="125" t="s">
        <v>234</v>
      </c>
      <c r="E4" s="125">
        <f>SUM(E5:E9)</f>
        <v>0.312</v>
      </c>
      <c r="F4" s="1043"/>
      <c r="G4" s="1007" t="s">
        <v>504</v>
      </c>
      <c r="H4" s="1007" t="s">
        <v>160</v>
      </c>
      <c r="I4" s="1181" t="s">
        <v>161</v>
      </c>
      <c r="J4" s="1016">
        <v>1800</v>
      </c>
      <c r="K4" s="1136" t="s">
        <v>44</v>
      </c>
    </row>
    <row r="5" spans="1:11" x14ac:dyDescent="0.3">
      <c r="A5" s="1113"/>
      <c r="B5" s="1026"/>
      <c r="C5" s="1035"/>
      <c r="D5" s="340" t="s">
        <v>249</v>
      </c>
      <c r="E5" s="340">
        <f>SUM(E13)</f>
        <v>0.121</v>
      </c>
      <c r="F5" s="985"/>
      <c r="G5" s="1008"/>
      <c r="H5" s="1008"/>
      <c r="I5" s="1182"/>
      <c r="J5" s="1145"/>
      <c r="K5" s="1142"/>
    </row>
    <row r="6" spans="1:11" x14ac:dyDescent="0.3">
      <c r="A6" s="1113"/>
      <c r="B6" s="1026"/>
      <c r="C6" s="1035"/>
      <c r="D6" s="345" t="s">
        <v>266</v>
      </c>
      <c r="E6" s="345">
        <f>SUM(E14:E14)</f>
        <v>0.18099999999999999</v>
      </c>
      <c r="F6" s="985"/>
      <c r="G6" s="1008"/>
      <c r="H6" s="1008"/>
      <c r="I6" s="1182"/>
      <c r="J6" s="1145"/>
      <c r="K6" s="1142"/>
    </row>
    <row r="7" spans="1:11" x14ac:dyDescent="0.3">
      <c r="A7" s="1113"/>
      <c r="B7" s="1026"/>
      <c r="C7" s="1035"/>
      <c r="D7" s="350" t="s">
        <v>506</v>
      </c>
      <c r="E7" s="350">
        <f>SUM(E15)</f>
        <v>3.0000000000000001E-3</v>
      </c>
      <c r="F7" s="985"/>
      <c r="G7" s="1008"/>
      <c r="H7" s="1008"/>
      <c r="I7" s="1182"/>
      <c r="J7" s="1145"/>
      <c r="K7" s="1142"/>
    </row>
    <row r="8" spans="1:11" x14ac:dyDescent="0.3">
      <c r="A8" s="1113"/>
      <c r="B8" s="1026"/>
      <c r="C8" s="1035"/>
      <c r="D8" s="358" t="s">
        <v>247</v>
      </c>
      <c r="E8" s="358">
        <f>SUM(E16)</f>
        <v>7.0000000000000001E-3</v>
      </c>
      <c r="F8" s="985"/>
      <c r="G8" s="1008"/>
      <c r="H8" s="1008"/>
      <c r="I8" s="1182"/>
      <c r="J8" s="1145"/>
      <c r="K8" s="1142"/>
    </row>
    <row r="9" spans="1:11" x14ac:dyDescent="0.3">
      <c r="A9" s="1113"/>
      <c r="B9" s="1026"/>
      <c r="C9" s="1035"/>
      <c r="D9" s="123"/>
      <c r="E9" s="123"/>
      <c r="F9" s="985"/>
      <c r="G9" s="1008"/>
      <c r="H9" s="1008"/>
      <c r="I9" s="1182"/>
      <c r="J9" s="1145"/>
      <c r="K9" s="1142"/>
    </row>
    <row r="10" spans="1:11" ht="15" thickBot="1" x14ac:dyDescent="0.35">
      <c r="A10" s="1072"/>
      <c r="B10" s="1027"/>
      <c r="C10" s="1036"/>
      <c r="D10" s="80"/>
      <c r="E10" s="53"/>
      <c r="F10" s="1044"/>
      <c r="G10" s="1009"/>
      <c r="H10" s="1009"/>
      <c r="I10" s="1183"/>
      <c r="J10" s="1018"/>
      <c r="K10" s="1138"/>
    </row>
    <row r="11" spans="1:11" ht="15" thickBot="1" x14ac:dyDescent="0.35">
      <c r="A11"/>
      <c r="C11" s="3"/>
      <c r="E11" s="1"/>
      <c r="F11"/>
    </row>
    <row r="12" spans="1:11" x14ac:dyDescent="0.3">
      <c r="A12" s="1071" t="s">
        <v>162</v>
      </c>
      <c r="B12" s="83" t="s">
        <v>163</v>
      </c>
      <c r="C12" s="44"/>
      <c r="D12" s="90" t="s">
        <v>532</v>
      </c>
      <c r="E12" s="92">
        <f>SUM(E13:E16)</f>
        <v>0.312</v>
      </c>
      <c r="F12" s="5"/>
      <c r="G12" s="38"/>
      <c r="H12" s="5"/>
      <c r="I12" s="5"/>
      <c r="J12" s="5"/>
      <c r="K12" s="6"/>
    </row>
    <row r="13" spans="1:11" x14ac:dyDescent="0.3">
      <c r="A13" s="1113"/>
      <c r="B13" s="341" t="s">
        <v>1144</v>
      </c>
      <c r="C13" s="69"/>
      <c r="D13" s="342" t="s">
        <v>249</v>
      </c>
      <c r="E13" s="343">
        <v>0.121</v>
      </c>
      <c r="F13" s="3"/>
      <c r="G13" s="3"/>
      <c r="K13" s="8"/>
    </row>
    <row r="14" spans="1:11" x14ac:dyDescent="0.3">
      <c r="A14" s="1113"/>
      <c r="B14" s="347" t="s">
        <v>1145</v>
      </c>
      <c r="C14" s="3"/>
      <c r="D14" s="346" t="s">
        <v>266</v>
      </c>
      <c r="E14" s="346">
        <v>0.18099999999999999</v>
      </c>
      <c r="F14" s="3"/>
      <c r="K14" s="8"/>
    </row>
    <row r="15" spans="1:11" x14ac:dyDescent="0.3">
      <c r="A15" s="1113"/>
      <c r="B15" s="348" t="s">
        <v>1146</v>
      </c>
      <c r="C15" s="3"/>
      <c r="D15" s="349" t="s">
        <v>506</v>
      </c>
      <c r="E15" s="349">
        <v>3.0000000000000001E-3</v>
      </c>
      <c r="F15" s="3"/>
      <c r="K15" s="8"/>
    </row>
    <row r="16" spans="1:11" x14ac:dyDescent="0.3">
      <c r="A16" s="1113"/>
      <c r="B16" s="356" t="s">
        <v>1147</v>
      </c>
      <c r="C16" s="3"/>
      <c r="D16" s="357" t="s">
        <v>247</v>
      </c>
      <c r="E16" s="357">
        <v>7.0000000000000001E-3</v>
      </c>
      <c r="F16" s="3"/>
      <c r="K16" s="8"/>
    </row>
    <row r="17" spans="1:11" x14ac:dyDescent="0.3">
      <c r="A17" s="1113"/>
      <c r="B17" s="112"/>
      <c r="C17" s="3"/>
      <c r="D17" s="119"/>
      <c r="E17" s="119"/>
      <c r="F17" s="3"/>
      <c r="K17" s="8"/>
    </row>
    <row r="18" spans="1:11" x14ac:dyDescent="0.3">
      <c r="A18" s="1113"/>
      <c r="B18" s="112"/>
      <c r="C18" s="3"/>
      <c r="D18" s="119"/>
      <c r="E18" s="119"/>
      <c r="F18" s="3"/>
      <c r="K18" s="8"/>
    </row>
    <row r="19" spans="1:11" x14ac:dyDescent="0.3">
      <c r="A19" s="1113"/>
      <c r="B19" s="112"/>
      <c r="C19" s="3"/>
      <c r="D19" s="119"/>
      <c r="E19" s="119"/>
      <c r="F19" s="3"/>
      <c r="K19" s="8"/>
    </row>
    <row r="20" spans="1:11" ht="15" thickBot="1" x14ac:dyDescent="0.35">
      <c r="A20" s="1072"/>
      <c r="B20" s="89"/>
      <c r="C20" s="9"/>
      <c r="D20" s="91"/>
      <c r="E20" s="91"/>
      <c r="F20" s="9"/>
      <c r="G20" s="9"/>
      <c r="H20" s="9"/>
      <c r="I20" s="9"/>
      <c r="J20" s="9"/>
      <c r="K20" s="10"/>
    </row>
    <row r="21" spans="1:11" x14ac:dyDescent="0.3">
      <c r="A21"/>
      <c r="C21"/>
      <c r="E21"/>
      <c r="F21"/>
    </row>
    <row r="22" spans="1:11" x14ac:dyDescent="0.3">
      <c r="A22"/>
      <c r="C22"/>
      <c r="E22"/>
      <c r="F22"/>
    </row>
    <row r="23" spans="1:11" x14ac:dyDescent="0.3">
      <c r="A23"/>
      <c r="C23"/>
      <c r="E23"/>
      <c r="F23"/>
    </row>
    <row r="24" spans="1:11" x14ac:dyDescent="0.3">
      <c r="A24"/>
      <c r="C24"/>
      <c r="E24"/>
      <c r="F24"/>
    </row>
    <row r="25" spans="1:11" x14ac:dyDescent="0.3">
      <c r="A25"/>
      <c r="C25"/>
      <c r="E25"/>
      <c r="F25"/>
    </row>
    <row r="26" spans="1:11" x14ac:dyDescent="0.3">
      <c r="A26"/>
      <c r="C26"/>
      <c r="E26"/>
      <c r="F26"/>
    </row>
    <row r="27" spans="1:11" x14ac:dyDescent="0.3">
      <c r="A27"/>
      <c r="C27"/>
      <c r="E27"/>
      <c r="F27"/>
    </row>
    <row r="28" spans="1:11" x14ac:dyDescent="0.3">
      <c r="A28"/>
      <c r="C28"/>
      <c r="E28"/>
      <c r="F28"/>
    </row>
    <row r="29" spans="1:11" x14ac:dyDescent="0.3">
      <c r="A29"/>
      <c r="C29"/>
      <c r="E29"/>
      <c r="F29"/>
    </row>
    <row r="30" spans="1:11" x14ac:dyDescent="0.3">
      <c r="A30"/>
      <c r="C30"/>
      <c r="E30"/>
      <c r="F30"/>
    </row>
    <row r="31" spans="1:11" x14ac:dyDescent="0.3">
      <c r="A31"/>
      <c r="C31"/>
      <c r="E31"/>
      <c r="F31"/>
    </row>
    <row r="32" spans="1:11" x14ac:dyDescent="0.3">
      <c r="A32"/>
      <c r="C32"/>
      <c r="E32"/>
      <c r="F32"/>
    </row>
    <row r="33" customFormat="1" x14ac:dyDescent="0.3"/>
    <row r="34" customFormat="1" ht="15" customHeigh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ht="15" customHeight="1" x14ac:dyDescent="0.3"/>
    <row r="63" customFormat="1" x14ac:dyDescent="0.3"/>
    <row r="64" customFormat="1" x14ac:dyDescent="0.3"/>
    <row r="65" customFormat="1" x14ac:dyDescent="0.3"/>
    <row r="66" customFormat="1" ht="15" customHeight="1" x14ac:dyDescent="0.3"/>
    <row r="67" customFormat="1" x14ac:dyDescent="0.3"/>
    <row r="68" customFormat="1" x14ac:dyDescent="0.3"/>
    <row r="69" customFormat="1" ht="15" customHeigh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ht="15" customHeight="1" x14ac:dyDescent="0.3"/>
    <row r="105" customFormat="1" x14ac:dyDescent="0.3"/>
    <row r="106" customFormat="1" x14ac:dyDescent="0.3"/>
    <row r="107" customFormat="1" ht="15" customHeigh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ht="15" customHeigh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spans="1:6" customForma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x14ac:dyDescent="0.3"/>
    <row r="134" spans="1:6" customFormat="1" x14ac:dyDescent="0.3"/>
    <row r="135" spans="1:6" customFormat="1" ht="15" customHeight="1" x14ac:dyDescent="0.3"/>
    <row r="136" spans="1:6" customFormat="1" x14ac:dyDescent="0.3"/>
    <row r="137" spans="1:6" customFormat="1" x14ac:dyDescent="0.3"/>
    <row r="138" spans="1:6" customFormat="1" x14ac:dyDescent="0.3"/>
    <row r="139" spans="1:6" customFormat="1" x14ac:dyDescent="0.3"/>
    <row r="140" spans="1:6" customFormat="1" x14ac:dyDescent="0.3"/>
    <row r="141" spans="1:6" customFormat="1" x14ac:dyDescent="0.3"/>
    <row r="142" spans="1:6" x14ac:dyDescent="0.3">
      <c r="A142"/>
      <c r="C142" s="3"/>
      <c r="E142" s="1"/>
      <c r="F142"/>
    </row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ht="15" customHeight="1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ht="15" customHeight="1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</sheetData>
  <mergeCells count="10">
    <mergeCell ref="H4:H10"/>
    <mergeCell ref="I4:I10"/>
    <mergeCell ref="J4:J10"/>
    <mergeCell ref="K4:K10"/>
    <mergeCell ref="A12:A20"/>
    <mergeCell ref="A4:A10"/>
    <mergeCell ref="B4:B10"/>
    <mergeCell ref="C4:C10"/>
    <mergeCell ref="F4:F10"/>
    <mergeCell ref="G4:G10"/>
  </mergeCells>
  <pageMargins left="0.7" right="0.7" top="0.75" bottom="0.75" header="0.3" footer="0.3"/>
  <pageSetup paperSize="9" orientation="portrait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L231"/>
  <sheetViews>
    <sheetView topLeftCell="C1" zoomScale="70" zoomScaleNormal="70" workbookViewId="0">
      <selection activeCell="F4" sqref="F4:F8"/>
    </sheetView>
  </sheetViews>
  <sheetFormatPr baseColWidth="10" defaultColWidth="11.44140625" defaultRowHeight="14.4" x14ac:dyDescent="0.3"/>
  <cols>
    <col min="1" max="1" width="26.33203125" style="29" customWidth="1"/>
    <col min="2" max="2" width="86.88671875" bestFit="1" customWidth="1"/>
    <col min="3" max="3" width="28.109375" style="3" bestFit="1" customWidth="1"/>
    <col min="4" max="4" width="27.6640625" style="50" customWidth="1"/>
    <col min="5" max="5" width="35.88671875" bestFit="1" customWidth="1"/>
    <col min="6" max="6" width="13.44140625" style="3" customWidth="1"/>
    <col min="7" max="7" width="34.44140625" style="1" bestFit="1" customWidth="1"/>
    <col min="8" max="8" width="36" bestFit="1" customWidth="1"/>
    <col min="9" max="9" width="20.109375" bestFit="1" customWidth="1"/>
    <col min="10" max="10" width="22.5546875" customWidth="1"/>
    <col min="11" max="11" width="40.6640625" bestFit="1" customWidth="1"/>
    <col min="12" max="12" width="16" customWidth="1"/>
  </cols>
  <sheetData>
    <row r="1" spans="1:12" x14ac:dyDescent="0.3">
      <c r="A1" s="31" t="s">
        <v>4</v>
      </c>
      <c r="B1" s="30" t="s">
        <v>5</v>
      </c>
      <c r="C1" s="30" t="s">
        <v>6</v>
      </c>
      <c r="D1" s="32" t="s">
        <v>7</v>
      </c>
      <c r="E1" s="30" t="s">
        <v>8</v>
      </c>
      <c r="F1" s="30" t="s">
        <v>9</v>
      </c>
      <c r="G1" s="30" t="s">
        <v>10</v>
      </c>
      <c r="H1" s="30" t="s">
        <v>11</v>
      </c>
      <c r="I1" s="30" t="s">
        <v>12</v>
      </c>
      <c r="J1" s="30" t="s">
        <v>13</v>
      </c>
      <c r="K1" s="30" t="s">
        <v>16</v>
      </c>
      <c r="L1" s="30" t="s">
        <v>17</v>
      </c>
    </row>
    <row r="2" spans="1:12" x14ac:dyDescent="0.3">
      <c r="A2" s="31"/>
      <c r="B2" s="113" t="s">
        <v>166</v>
      </c>
      <c r="C2" s="33"/>
      <c r="D2" s="49"/>
      <c r="E2" s="34"/>
      <c r="F2" s="33"/>
      <c r="G2" s="35"/>
      <c r="H2" s="34"/>
      <c r="I2" s="34"/>
      <c r="J2" s="34"/>
      <c r="K2" s="34"/>
      <c r="L2" s="34"/>
    </row>
    <row r="3" spans="1:12" ht="15" customHeight="1" thickBot="1" x14ac:dyDescent="0.35"/>
    <row r="4" spans="1:12" ht="15.75" customHeight="1" x14ac:dyDescent="0.3">
      <c r="A4" s="1071" t="s">
        <v>165</v>
      </c>
      <c r="B4" s="1025" t="s">
        <v>166</v>
      </c>
      <c r="C4" s="1031"/>
      <c r="D4" s="1034" t="s">
        <v>157</v>
      </c>
      <c r="E4" s="125" t="s">
        <v>234</v>
      </c>
      <c r="F4" s="125">
        <f>SUM(F5:F9)</f>
        <v>1.6019999999999999</v>
      </c>
      <c r="G4" s="1043"/>
      <c r="H4" s="1007" t="s">
        <v>504</v>
      </c>
      <c r="I4" s="1007" t="s">
        <v>160</v>
      </c>
      <c r="J4" s="1181" t="s">
        <v>161</v>
      </c>
      <c r="K4" s="1016">
        <v>1800</v>
      </c>
      <c r="L4" s="1136" t="s">
        <v>44</v>
      </c>
    </row>
    <row r="5" spans="1:12" x14ac:dyDescent="0.3">
      <c r="A5" s="1113"/>
      <c r="B5" s="1026"/>
      <c r="C5" s="1032"/>
      <c r="D5" s="1035"/>
      <c r="E5" s="340" t="s">
        <v>249</v>
      </c>
      <c r="F5" s="340">
        <f>SUM(F13)</f>
        <v>0.85399999999999998</v>
      </c>
      <c r="G5" s="985"/>
      <c r="H5" s="1008"/>
      <c r="I5" s="1008"/>
      <c r="J5" s="1182"/>
      <c r="K5" s="1145"/>
      <c r="L5" s="1142"/>
    </row>
    <row r="6" spans="1:12" x14ac:dyDescent="0.3">
      <c r="A6" s="1113"/>
      <c r="B6" s="1026"/>
      <c r="C6" s="1032"/>
      <c r="D6" s="1035"/>
      <c r="E6" s="345" t="s">
        <v>266</v>
      </c>
      <c r="F6" s="345">
        <f>SUM(F14:F14)</f>
        <v>0.73499999999999999</v>
      </c>
      <c r="G6" s="985"/>
      <c r="H6" s="1008"/>
      <c r="I6" s="1008"/>
      <c r="J6" s="1182"/>
      <c r="K6" s="1145"/>
      <c r="L6" s="1142"/>
    </row>
    <row r="7" spans="1:12" x14ac:dyDescent="0.3">
      <c r="A7" s="1113"/>
      <c r="B7" s="1026"/>
      <c r="C7" s="1032"/>
      <c r="D7" s="1035"/>
      <c r="E7" s="350" t="s">
        <v>506</v>
      </c>
      <c r="F7" s="350">
        <f>SUM(F15)</f>
        <v>8.0000000000000002E-3</v>
      </c>
      <c r="G7" s="985"/>
      <c r="H7" s="1008"/>
      <c r="I7" s="1008"/>
      <c r="J7" s="1182"/>
      <c r="K7" s="1145"/>
      <c r="L7" s="1142"/>
    </row>
    <row r="8" spans="1:12" x14ac:dyDescent="0.3">
      <c r="A8" s="1113"/>
      <c r="B8" s="1026"/>
      <c r="C8" s="1032"/>
      <c r="D8" s="1035"/>
      <c r="E8" s="358" t="s">
        <v>247</v>
      </c>
      <c r="F8" s="358">
        <f>SUM(F18)</f>
        <v>5.0000000000000001E-3</v>
      </c>
      <c r="G8" s="985"/>
      <c r="H8" s="1008"/>
      <c r="I8" s="1008"/>
      <c r="J8" s="1182"/>
      <c r="K8" s="1145"/>
      <c r="L8" s="1142"/>
    </row>
    <row r="9" spans="1:12" x14ac:dyDescent="0.3">
      <c r="A9" s="1113"/>
      <c r="B9" s="1026"/>
      <c r="C9" s="1032"/>
      <c r="D9" s="1035"/>
      <c r="E9" s="123"/>
      <c r="F9" s="123"/>
      <c r="G9" s="985"/>
      <c r="H9" s="1008"/>
      <c r="I9" s="1008"/>
      <c r="J9" s="1182"/>
      <c r="K9" s="1145"/>
      <c r="L9" s="1142"/>
    </row>
    <row r="10" spans="1:12" ht="15" thickBot="1" x14ac:dyDescent="0.35">
      <c r="A10" s="1072"/>
      <c r="B10" s="1027"/>
      <c r="C10" s="1033"/>
      <c r="D10" s="1036"/>
      <c r="E10" s="80"/>
      <c r="F10" s="53"/>
      <c r="G10" s="1044"/>
      <c r="H10" s="1009"/>
      <c r="I10" s="1009"/>
      <c r="J10" s="1183"/>
      <c r="K10" s="1018"/>
      <c r="L10" s="1138"/>
    </row>
    <row r="11" spans="1:12" ht="15" thickBot="1" x14ac:dyDescent="0.35">
      <c r="A11"/>
      <c r="C11"/>
      <c r="D11" s="3"/>
      <c r="F11" s="1"/>
      <c r="G11"/>
    </row>
    <row r="12" spans="1:12" x14ac:dyDescent="0.3">
      <c r="A12" s="1071" t="s">
        <v>165</v>
      </c>
      <c r="B12" s="83" t="s">
        <v>166</v>
      </c>
      <c r="C12" s="44"/>
      <c r="D12" s="44"/>
      <c r="E12" s="90" t="s">
        <v>532</v>
      </c>
      <c r="F12" s="92">
        <f>SUM(F13:F18)</f>
        <v>1.6089999999999998</v>
      </c>
      <c r="G12" s="5"/>
      <c r="H12" s="38"/>
      <c r="I12" s="5"/>
      <c r="J12" s="5"/>
      <c r="K12" s="5"/>
      <c r="L12" s="6"/>
    </row>
    <row r="13" spans="1:12" x14ac:dyDescent="0.3">
      <c r="A13" s="1113"/>
      <c r="B13" s="341" t="s">
        <v>1148</v>
      </c>
      <c r="C13" s="17"/>
      <c r="D13" s="69"/>
      <c r="E13" s="342" t="s">
        <v>249</v>
      </c>
      <c r="F13" s="343">
        <v>0.85399999999999998</v>
      </c>
      <c r="G13" s="3"/>
      <c r="H13" s="3"/>
      <c r="L13" s="8"/>
    </row>
    <row r="14" spans="1:12" x14ac:dyDescent="0.3">
      <c r="A14" s="1113"/>
      <c r="B14" s="347" t="s">
        <v>1149</v>
      </c>
      <c r="C14" s="17"/>
      <c r="D14" s="3"/>
      <c r="E14" s="346" t="s">
        <v>266</v>
      </c>
      <c r="F14" s="346">
        <v>0.73499999999999999</v>
      </c>
      <c r="G14" s="3"/>
      <c r="L14" s="8"/>
    </row>
    <row r="15" spans="1:12" x14ac:dyDescent="0.3">
      <c r="A15" s="1113"/>
      <c r="B15" s="348" t="s">
        <v>1150</v>
      </c>
      <c r="C15" s="17"/>
      <c r="D15" s="3"/>
      <c r="E15" s="1185" t="s">
        <v>506</v>
      </c>
      <c r="F15" s="349">
        <v>8.0000000000000002E-3</v>
      </c>
      <c r="G15" s="3"/>
      <c r="L15" s="8"/>
    </row>
    <row r="16" spans="1:12" x14ac:dyDescent="0.3">
      <c r="A16" s="1113"/>
      <c r="B16" s="348" t="s">
        <v>1151</v>
      </c>
      <c r="C16" s="17"/>
      <c r="D16" s="3"/>
      <c r="E16" s="1185"/>
      <c r="F16" s="349">
        <v>3.0000000000000001E-3</v>
      </c>
      <c r="G16" s="3"/>
      <c r="L16" s="8"/>
    </row>
    <row r="17" spans="1:12" x14ac:dyDescent="0.3">
      <c r="A17" s="1113"/>
      <c r="B17" s="348" t="s">
        <v>1152</v>
      </c>
      <c r="C17" s="17"/>
      <c r="D17" s="3"/>
      <c r="E17" s="1185"/>
      <c r="F17" s="349">
        <v>4.0000000000000001E-3</v>
      </c>
      <c r="G17" s="3"/>
      <c r="L17" s="8"/>
    </row>
    <row r="18" spans="1:12" x14ac:dyDescent="0.3">
      <c r="A18" s="1113"/>
      <c r="B18" s="356" t="s">
        <v>1153</v>
      </c>
      <c r="C18" s="17"/>
      <c r="D18" s="3"/>
      <c r="E18" s="357" t="s">
        <v>247</v>
      </c>
      <c r="F18" s="357">
        <v>5.0000000000000001E-3</v>
      </c>
      <c r="G18" s="3"/>
      <c r="L18" s="8"/>
    </row>
    <row r="19" spans="1:12" x14ac:dyDescent="0.3">
      <c r="A19" s="1113"/>
      <c r="B19" s="112"/>
      <c r="C19" s="17"/>
      <c r="D19" s="3"/>
      <c r="E19" s="119"/>
      <c r="F19" s="119"/>
      <c r="G19" s="3"/>
      <c r="L19" s="8"/>
    </row>
    <row r="20" spans="1:12" x14ac:dyDescent="0.3">
      <c r="A20" s="1113"/>
      <c r="B20" s="112"/>
      <c r="C20" s="17"/>
      <c r="D20" s="3"/>
      <c r="E20" s="119"/>
      <c r="F20" s="119"/>
      <c r="G20" s="3"/>
      <c r="L20" s="8"/>
    </row>
    <row r="21" spans="1:12" x14ac:dyDescent="0.3">
      <c r="A21" s="1113"/>
      <c r="B21" s="112"/>
      <c r="C21" s="17"/>
      <c r="D21" s="3"/>
      <c r="E21" s="119"/>
      <c r="F21" s="119"/>
      <c r="G21" s="3"/>
      <c r="L21" s="8"/>
    </row>
    <row r="22" spans="1:12" ht="15" thickBot="1" x14ac:dyDescent="0.35">
      <c r="A22" s="1072"/>
      <c r="B22" s="89"/>
      <c r="C22" s="11"/>
      <c r="D22" s="9"/>
      <c r="E22" s="91"/>
      <c r="F22" s="91"/>
      <c r="G22" s="9"/>
      <c r="H22" s="9"/>
      <c r="I22" s="9"/>
      <c r="J22" s="9"/>
      <c r="K22" s="9"/>
      <c r="L22" s="10"/>
    </row>
    <row r="23" spans="1:12" x14ac:dyDescent="0.3">
      <c r="A23"/>
      <c r="C23"/>
      <c r="D23"/>
      <c r="F23"/>
      <c r="G23"/>
    </row>
    <row r="24" spans="1:12" x14ac:dyDescent="0.3">
      <c r="A24"/>
      <c r="C24"/>
      <c r="D24"/>
      <c r="F24"/>
      <c r="G24"/>
    </row>
    <row r="25" spans="1:12" x14ac:dyDescent="0.3">
      <c r="A25"/>
      <c r="C25"/>
      <c r="D25"/>
      <c r="F25"/>
      <c r="G25"/>
    </row>
    <row r="26" spans="1:12" x14ac:dyDescent="0.3">
      <c r="A26"/>
      <c r="C26"/>
      <c r="D26"/>
      <c r="F26"/>
      <c r="G26"/>
    </row>
    <row r="27" spans="1:12" x14ac:dyDescent="0.3">
      <c r="A27"/>
      <c r="C27"/>
      <c r="D27"/>
      <c r="F27"/>
      <c r="G27"/>
    </row>
    <row r="28" spans="1:12" x14ac:dyDescent="0.3">
      <c r="A28"/>
      <c r="C28"/>
      <c r="D28"/>
      <c r="F28"/>
      <c r="G28"/>
    </row>
    <row r="29" spans="1:12" x14ac:dyDescent="0.3">
      <c r="A29"/>
      <c r="C29"/>
      <c r="D29"/>
      <c r="F29"/>
      <c r="G29"/>
    </row>
    <row r="30" spans="1:12" x14ac:dyDescent="0.3">
      <c r="A30"/>
      <c r="C30"/>
      <c r="D30"/>
      <c r="F30"/>
      <c r="G30"/>
    </row>
    <row r="31" spans="1:12" x14ac:dyDescent="0.3">
      <c r="A31"/>
      <c r="C31"/>
      <c r="D31"/>
      <c r="F31"/>
      <c r="G31"/>
    </row>
    <row r="32" spans="1:12" x14ac:dyDescent="0.3">
      <c r="A32"/>
      <c r="C32"/>
      <c r="D32"/>
      <c r="F32"/>
      <c r="G32"/>
    </row>
    <row r="33" customFormat="1" x14ac:dyDescent="0.3"/>
    <row r="34" customFormat="1" x14ac:dyDescent="0.3"/>
    <row r="35" customFormat="1" x14ac:dyDescent="0.3"/>
    <row r="36" customFormat="1" ht="15" customHeigh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ht="15" customHeight="1" x14ac:dyDescent="0.3"/>
    <row r="65" customFormat="1" x14ac:dyDescent="0.3"/>
    <row r="66" customFormat="1" x14ac:dyDescent="0.3"/>
    <row r="67" customFormat="1" x14ac:dyDescent="0.3"/>
    <row r="68" customFormat="1" ht="15" customHeight="1" x14ac:dyDescent="0.3"/>
    <row r="69" customFormat="1" x14ac:dyDescent="0.3"/>
    <row r="70" customFormat="1" x14ac:dyDescent="0.3"/>
    <row r="71" customFormat="1" ht="15" customHeigh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ht="15" customHeight="1" x14ac:dyDescent="0.3"/>
    <row r="107" customFormat="1" x14ac:dyDescent="0.3"/>
    <row r="108" customFormat="1" x14ac:dyDescent="0.3"/>
    <row r="109" customFormat="1" ht="15" customHeigh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ht="15" customHeigh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spans="1:7" customFormat="1" x14ac:dyDescent="0.3"/>
    <row r="130" spans="1:7" customFormat="1" x14ac:dyDescent="0.3"/>
    <row r="131" spans="1:7" customFormat="1" x14ac:dyDescent="0.3"/>
    <row r="132" spans="1:7" customFormat="1" x14ac:dyDescent="0.3"/>
    <row r="133" spans="1:7" customFormat="1" x14ac:dyDescent="0.3"/>
    <row r="134" spans="1:7" customFormat="1" x14ac:dyDescent="0.3"/>
    <row r="135" spans="1:7" customFormat="1" x14ac:dyDescent="0.3"/>
    <row r="136" spans="1:7" customFormat="1" x14ac:dyDescent="0.3"/>
    <row r="137" spans="1:7" customFormat="1" ht="15" customHeight="1" x14ac:dyDescent="0.3"/>
    <row r="138" spans="1:7" customFormat="1" x14ac:dyDescent="0.3"/>
    <row r="139" spans="1:7" customFormat="1" x14ac:dyDescent="0.3"/>
    <row r="140" spans="1:7" customFormat="1" x14ac:dyDescent="0.3"/>
    <row r="141" spans="1:7" customFormat="1" x14ac:dyDescent="0.3"/>
    <row r="142" spans="1:7" customFormat="1" x14ac:dyDescent="0.3"/>
    <row r="143" spans="1:7" customFormat="1" x14ac:dyDescent="0.3"/>
    <row r="144" spans="1:7" x14ac:dyDescent="0.3">
      <c r="A144"/>
      <c r="C144"/>
      <c r="D144" s="3"/>
      <c r="F144" s="1"/>
      <c r="G144"/>
    </row>
    <row r="145" spans="1:7" x14ac:dyDescent="0.3">
      <c r="A145"/>
      <c r="C145"/>
      <c r="D145" s="3"/>
      <c r="F145" s="1"/>
      <c r="G145"/>
    </row>
    <row r="146" spans="1:7" x14ac:dyDescent="0.3">
      <c r="A146"/>
      <c r="C146"/>
      <c r="D146" s="3"/>
      <c r="F146" s="1"/>
      <c r="G146"/>
    </row>
    <row r="147" spans="1:7" x14ac:dyDescent="0.3">
      <c r="A147"/>
      <c r="C147"/>
      <c r="D147" s="3"/>
      <c r="F147" s="1"/>
      <c r="G147"/>
    </row>
    <row r="148" spans="1:7" x14ac:dyDescent="0.3">
      <c r="A148"/>
      <c r="C148"/>
      <c r="D148" s="3"/>
      <c r="F148" s="1"/>
      <c r="G148"/>
    </row>
    <row r="149" spans="1:7" x14ac:dyDescent="0.3">
      <c r="A149"/>
      <c r="C149"/>
      <c r="D149" s="3"/>
      <c r="F149" s="1"/>
      <c r="G149"/>
    </row>
    <row r="150" spans="1:7" x14ac:dyDescent="0.3">
      <c r="A150"/>
      <c r="C150"/>
      <c r="D150" s="3"/>
      <c r="F150" s="1"/>
      <c r="G150"/>
    </row>
    <row r="151" spans="1:7" x14ac:dyDescent="0.3">
      <c r="A151"/>
      <c r="C151"/>
      <c r="D151" s="3"/>
      <c r="F151" s="1"/>
      <c r="G151"/>
    </row>
    <row r="152" spans="1:7" x14ac:dyDescent="0.3">
      <c r="A152"/>
      <c r="C152"/>
      <c r="D152" s="3"/>
      <c r="F152" s="1"/>
      <c r="G152"/>
    </row>
    <row r="153" spans="1:7" x14ac:dyDescent="0.3">
      <c r="A153"/>
      <c r="C153"/>
      <c r="D153" s="3"/>
      <c r="F153" s="1"/>
      <c r="G153"/>
    </row>
    <row r="154" spans="1:7" x14ac:dyDescent="0.3">
      <c r="A154"/>
      <c r="C154"/>
      <c r="D154" s="3"/>
      <c r="F154" s="1"/>
      <c r="G154"/>
    </row>
    <row r="155" spans="1:7" x14ac:dyDescent="0.3">
      <c r="A155"/>
      <c r="C155"/>
      <c r="D155" s="3"/>
      <c r="F155" s="1"/>
      <c r="G155"/>
    </row>
    <row r="156" spans="1:7" x14ac:dyDescent="0.3">
      <c r="A156"/>
      <c r="C156"/>
      <c r="D156" s="3"/>
      <c r="F156" s="1"/>
      <c r="G156"/>
    </row>
    <row r="157" spans="1:7" x14ac:dyDescent="0.3">
      <c r="A157"/>
      <c r="C157"/>
      <c r="D157" s="3"/>
      <c r="F157" s="1"/>
      <c r="G157"/>
    </row>
    <row r="158" spans="1:7" x14ac:dyDescent="0.3">
      <c r="A158"/>
      <c r="C158"/>
      <c r="D158" s="3"/>
      <c r="F158" s="1"/>
      <c r="G158"/>
    </row>
    <row r="159" spans="1:7" x14ac:dyDescent="0.3">
      <c r="A159"/>
      <c r="C159"/>
      <c r="D159" s="3"/>
      <c r="F159" s="1"/>
      <c r="G159"/>
    </row>
    <row r="160" spans="1:7" x14ac:dyDescent="0.3">
      <c r="A160"/>
      <c r="C160"/>
      <c r="D160" s="3"/>
      <c r="F160" s="1"/>
      <c r="G160"/>
    </row>
    <row r="161" spans="1:7" x14ac:dyDescent="0.3">
      <c r="A161"/>
      <c r="C161"/>
      <c r="D161" s="3"/>
      <c r="F161" s="1"/>
      <c r="G161"/>
    </row>
    <row r="162" spans="1:7" x14ac:dyDescent="0.3">
      <c r="A162"/>
      <c r="C162"/>
      <c r="D162" s="3"/>
      <c r="F162" s="1"/>
      <c r="G162"/>
    </row>
    <row r="163" spans="1:7" x14ac:dyDescent="0.3">
      <c r="A163"/>
      <c r="C163"/>
      <c r="D163" s="3"/>
      <c r="F163" s="1"/>
      <c r="G163"/>
    </row>
    <row r="164" spans="1:7" x14ac:dyDescent="0.3">
      <c r="A164"/>
      <c r="C164"/>
      <c r="D164" s="3"/>
      <c r="F164" s="1"/>
      <c r="G164"/>
    </row>
    <row r="165" spans="1:7" x14ac:dyDescent="0.3">
      <c r="A165"/>
      <c r="C165"/>
      <c r="D165" s="3"/>
      <c r="F165" s="1"/>
      <c r="G165"/>
    </row>
    <row r="166" spans="1:7" x14ac:dyDescent="0.3">
      <c r="A166"/>
      <c r="C166"/>
      <c r="D166" s="3"/>
      <c r="F166" s="1"/>
      <c r="G166"/>
    </row>
    <row r="167" spans="1:7" x14ac:dyDescent="0.3">
      <c r="A167"/>
      <c r="C167"/>
      <c r="D167" s="3"/>
      <c r="F167" s="1"/>
      <c r="G167"/>
    </row>
    <row r="168" spans="1:7" x14ac:dyDescent="0.3">
      <c r="A168"/>
      <c r="C168"/>
      <c r="D168" s="3"/>
      <c r="F168" s="1"/>
      <c r="G168"/>
    </row>
    <row r="169" spans="1:7" x14ac:dyDescent="0.3">
      <c r="A169"/>
      <c r="C169"/>
      <c r="D169" s="3"/>
      <c r="F169" s="1"/>
      <c r="G169"/>
    </row>
    <row r="170" spans="1:7" x14ac:dyDescent="0.3">
      <c r="A170"/>
      <c r="C170"/>
      <c r="D170" s="3"/>
      <c r="F170" s="1"/>
      <c r="G170"/>
    </row>
    <row r="171" spans="1:7" x14ac:dyDescent="0.3">
      <c r="A171"/>
      <c r="C171"/>
      <c r="D171" s="3"/>
      <c r="F171" s="1"/>
      <c r="G171"/>
    </row>
    <row r="172" spans="1:7" x14ac:dyDescent="0.3">
      <c r="A172"/>
      <c r="C172"/>
      <c r="D172" s="3"/>
      <c r="F172" s="1"/>
      <c r="G172"/>
    </row>
    <row r="173" spans="1:7" x14ac:dyDescent="0.3">
      <c r="A173"/>
      <c r="C173"/>
      <c r="D173" s="3"/>
      <c r="F173" s="1"/>
      <c r="G173"/>
    </row>
    <row r="174" spans="1:7" x14ac:dyDescent="0.3">
      <c r="A174"/>
      <c r="C174"/>
      <c r="D174" s="3"/>
      <c r="F174" s="1"/>
      <c r="G174"/>
    </row>
    <row r="175" spans="1:7" x14ac:dyDescent="0.3">
      <c r="A175"/>
      <c r="C175"/>
      <c r="D175" s="3"/>
      <c r="F175" s="1"/>
      <c r="G175"/>
    </row>
    <row r="176" spans="1:7" x14ac:dyDescent="0.3">
      <c r="A176"/>
      <c r="C176"/>
      <c r="D176" s="3"/>
      <c r="F176" s="1"/>
      <c r="G176"/>
    </row>
    <row r="177" spans="1:7" x14ac:dyDescent="0.3">
      <c r="A177"/>
      <c r="C177"/>
      <c r="D177" s="3"/>
      <c r="F177" s="1"/>
      <c r="G177"/>
    </row>
    <row r="178" spans="1:7" x14ac:dyDescent="0.3">
      <c r="A178"/>
      <c r="C178"/>
      <c r="D178" s="3"/>
      <c r="F178" s="1"/>
      <c r="G178"/>
    </row>
    <row r="179" spans="1:7" x14ac:dyDescent="0.3">
      <c r="A179"/>
      <c r="C179"/>
      <c r="D179" s="3"/>
      <c r="F179" s="1"/>
      <c r="G179"/>
    </row>
    <row r="180" spans="1:7" x14ac:dyDescent="0.3">
      <c r="A180"/>
      <c r="C180"/>
      <c r="D180" s="3"/>
      <c r="F180" s="1"/>
      <c r="G180"/>
    </row>
    <row r="181" spans="1:7" x14ac:dyDescent="0.3">
      <c r="A181"/>
      <c r="C181"/>
      <c r="D181" s="3"/>
      <c r="F181" s="1"/>
      <c r="G181"/>
    </row>
    <row r="182" spans="1:7" x14ac:dyDescent="0.3">
      <c r="A182"/>
      <c r="C182"/>
      <c r="D182" s="3"/>
      <c r="F182" s="1"/>
      <c r="G182"/>
    </row>
    <row r="183" spans="1:7" x14ac:dyDescent="0.3">
      <c r="A183"/>
      <c r="C183"/>
      <c r="D183" s="3"/>
      <c r="F183" s="1"/>
      <c r="G183"/>
    </row>
    <row r="184" spans="1:7" x14ac:dyDescent="0.3">
      <c r="A184"/>
      <c r="C184"/>
      <c r="D184" s="3"/>
      <c r="F184" s="1"/>
      <c r="G184"/>
    </row>
    <row r="185" spans="1:7" x14ac:dyDescent="0.3">
      <c r="A185"/>
      <c r="C185"/>
      <c r="D185" s="3"/>
      <c r="F185" s="1"/>
      <c r="G185"/>
    </row>
    <row r="186" spans="1:7" x14ac:dyDescent="0.3">
      <c r="A186"/>
      <c r="C186"/>
      <c r="D186" s="3"/>
      <c r="F186" s="1"/>
      <c r="G186"/>
    </row>
    <row r="187" spans="1:7" x14ac:dyDescent="0.3">
      <c r="A187"/>
      <c r="C187"/>
      <c r="D187" s="3"/>
      <c r="F187" s="1"/>
      <c r="G187"/>
    </row>
    <row r="188" spans="1:7" x14ac:dyDescent="0.3">
      <c r="A188"/>
      <c r="C188"/>
      <c r="D188" s="3"/>
      <c r="F188" s="1"/>
      <c r="G188"/>
    </row>
    <row r="189" spans="1:7" x14ac:dyDescent="0.3">
      <c r="A189"/>
      <c r="C189"/>
      <c r="D189" s="3"/>
      <c r="F189" s="1"/>
      <c r="G189"/>
    </row>
    <row r="190" spans="1:7" x14ac:dyDescent="0.3">
      <c r="A190"/>
      <c r="C190"/>
      <c r="D190" s="3"/>
      <c r="F190" s="1"/>
      <c r="G190"/>
    </row>
    <row r="191" spans="1:7" x14ac:dyDescent="0.3">
      <c r="A191"/>
      <c r="C191"/>
      <c r="D191" s="3"/>
      <c r="F191" s="1"/>
      <c r="G191"/>
    </row>
    <row r="192" spans="1:7" x14ac:dyDescent="0.3">
      <c r="A192"/>
      <c r="C192"/>
      <c r="D192" s="3"/>
      <c r="F192" s="1"/>
      <c r="G192"/>
    </row>
    <row r="193" spans="1:7" x14ac:dyDescent="0.3">
      <c r="A193"/>
      <c r="C193"/>
      <c r="D193" s="3"/>
      <c r="F193" s="1"/>
      <c r="G193"/>
    </row>
    <row r="194" spans="1:7" x14ac:dyDescent="0.3">
      <c r="A194"/>
      <c r="C194"/>
      <c r="D194" s="3"/>
      <c r="F194" s="1"/>
      <c r="G194"/>
    </row>
    <row r="195" spans="1:7" x14ac:dyDescent="0.3">
      <c r="A195"/>
      <c r="C195"/>
      <c r="D195" s="3"/>
      <c r="F195" s="1"/>
      <c r="G195"/>
    </row>
    <row r="196" spans="1:7" x14ac:dyDescent="0.3">
      <c r="A196"/>
      <c r="C196"/>
      <c r="D196" s="3"/>
      <c r="F196" s="1"/>
      <c r="G196"/>
    </row>
    <row r="197" spans="1:7" x14ac:dyDescent="0.3">
      <c r="A197"/>
      <c r="C197"/>
      <c r="D197" s="3"/>
      <c r="F197" s="1"/>
      <c r="G197"/>
    </row>
    <row r="198" spans="1:7" x14ac:dyDescent="0.3">
      <c r="A198"/>
      <c r="C198"/>
      <c r="D198" s="3"/>
      <c r="F198" s="1"/>
      <c r="G198"/>
    </row>
    <row r="199" spans="1:7" x14ac:dyDescent="0.3">
      <c r="A199"/>
      <c r="C199"/>
      <c r="D199" s="3"/>
      <c r="F199" s="1"/>
      <c r="G199"/>
    </row>
    <row r="200" spans="1:7" x14ac:dyDescent="0.3">
      <c r="A200"/>
      <c r="C200"/>
      <c r="D200" s="3"/>
      <c r="F200" s="1"/>
      <c r="G200"/>
    </row>
    <row r="201" spans="1:7" ht="15" customHeight="1" x14ac:dyDescent="0.3">
      <c r="A201"/>
      <c r="C201"/>
      <c r="D201" s="3"/>
      <c r="F201" s="1"/>
      <c r="G201"/>
    </row>
    <row r="202" spans="1:7" x14ac:dyDescent="0.3">
      <c r="A202"/>
      <c r="C202"/>
      <c r="D202" s="3"/>
      <c r="F202" s="1"/>
      <c r="G202"/>
    </row>
    <row r="203" spans="1:7" x14ac:dyDescent="0.3">
      <c r="A203"/>
      <c r="C203"/>
      <c r="D203" s="3"/>
      <c r="F203" s="1"/>
      <c r="G203"/>
    </row>
    <row r="204" spans="1:7" x14ac:dyDescent="0.3">
      <c r="A204"/>
      <c r="C204"/>
      <c r="D204" s="3"/>
      <c r="F204" s="1"/>
      <c r="G204"/>
    </row>
    <row r="205" spans="1:7" x14ac:dyDescent="0.3">
      <c r="A205"/>
      <c r="C205"/>
      <c r="D205" s="3"/>
      <c r="F205" s="1"/>
      <c r="G205"/>
    </row>
    <row r="206" spans="1:7" x14ac:dyDescent="0.3">
      <c r="A206"/>
      <c r="C206"/>
      <c r="D206" s="3"/>
      <c r="F206" s="1"/>
      <c r="G206"/>
    </row>
    <row r="207" spans="1:7" x14ac:dyDescent="0.3">
      <c r="A207"/>
      <c r="C207"/>
      <c r="D207" s="3"/>
      <c r="F207" s="1"/>
      <c r="G207"/>
    </row>
    <row r="208" spans="1:7" x14ac:dyDescent="0.3">
      <c r="A208"/>
      <c r="C208"/>
      <c r="D208" s="3"/>
      <c r="F208" s="1"/>
      <c r="G208"/>
    </row>
    <row r="209" spans="1:7" x14ac:dyDescent="0.3">
      <c r="A209"/>
      <c r="C209"/>
      <c r="D209" s="3"/>
      <c r="F209" s="1"/>
      <c r="G209"/>
    </row>
    <row r="210" spans="1:7" x14ac:dyDescent="0.3">
      <c r="A210"/>
      <c r="C210"/>
      <c r="D210" s="3"/>
      <c r="F210" s="1"/>
      <c r="G210"/>
    </row>
    <row r="211" spans="1:7" x14ac:dyDescent="0.3">
      <c r="A211"/>
      <c r="C211"/>
      <c r="D211" s="3"/>
      <c r="F211" s="1"/>
      <c r="G211"/>
    </row>
    <row r="212" spans="1:7" x14ac:dyDescent="0.3">
      <c r="A212"/>
      <c r="C212"/>
      <c r="D212" s="3"/>
      <c r="F212" s="1"/>
      <c r="G212"/>
    </row>
    <row r="213" spans="1:7" x14ac:dyDescent="0.3">
      <c r="A213"/>
      <c r="C213"/>
      <c r="D213" s="3"/>
      <c r="F213" s="1"/>
      <c r="G213"/>
    </row>
    <row r="214" spans="1:7" x14ac:dyDescent="0.3">
      <c r="A214"/>
      <c r="C214"/>
      <c r="D214" s="3"/>
      <c r="F214" s="1"/>
      <c r="G214"/>
    </row>
    <row r="215" spans="1:7" x14ac:dyDescent="0.3">
      <c r="A215"/>
      <c r="C215"/>
      <c r="D215" s="3"/>
      <c r="F215" s="1"/>
      <c r="G215"/>
    </row>
    <row r="216" spans="1:7" x14ac:dyDescent="0.3">
      <c r="A216"/>
      <c r="C216"/>
      <c r="D216" s="3"/>
      <c r="F216" s="1"/>
      <c r="G216"/>
    </row>
    <row r="217" spans="1:7" ht="15" customHeight="1" x14ac:dyDescent="0.3">
      <c r="A217"/>
      <c r="C217"/>
      <c r="D217" s="3"/>
      <c r="F217" s="1"/>
      <c r="G217"/>
    </row>
    <row r="218" spans="1:7" x14ac:dyDescent="0.3">
      <c r="A218"/>
      <c r="C218"/>
      <c r="D218" s="3"/>
      <c r="F218" s="1"/>
      <c r="G218"/>
    </row>
    <row r="219" spans="1:7" x14ac:dyDescent="0.3">
      <c r="A219"/>
      <c r="C219"/>
      <c r="D219" s="3"/>
      <c r="F219" s="1"/>
      <c r="G219"/>
    </row>
    <row r="220" spans="1:7" x14ac:dyDescent="0.3">
      <c r="A220"/>
      <c r="C220"/>
      <c r="D220" s="3"/>
      <c r="F220" s="1"/>
      <c r="G220"/>
    </row>
    <row r="221" spans="1:7" x14ac:dyDescent="0.3">
      <c r="A221"/>
      <c r="C221"/>
      <c r="D221" s="3"/>
      <c r="F221" s="1"/>
      <c r="G221"/>
    </row>
    <row r="222" spans="1:7" x14ac:dyDescent="0.3">
      <c r="A222"/>
      <c r="C222"/>
      <c r="D222" s="3"/>
      <c r="F222" s="1"/>
      <c r="G222"/>
    </row>
    <row r="223" spans="1:7" x14ac:dyDescent="0.3">
      <c r="A223"/>
      <c r="C223"/>
      <c r="D223" s="3"/>
      <c r="F223" s="1"/>
      <c r="G223"/>
    </row>
    <row r="224" spans="1:7" x14ac:dyDescent="0.3">
      <c r="A224"/>
      <c r="C224"/>
      <c r="D224" s="3"/>
      <c r="F224" s="1"/>
      <c r="G224"/>
    </row>
    <row r="225" spans="1:7" x14ac:dyDescent="0.3">
      <c r="A225"/>
      <c r="C225"/>
      <c r="D225" s="3"/>
      <c r="F225" s="1"/>
      <c r="G225"/>
    </row>
    <row r="226" spans="1:7" x14ac:dyDescent="0.3">
      <c r="A226"/>
      <c r="C226"/>
      <c r="D226" s="3"/>
      <c r="F226" s="1"/>
      <c r="G226"/>
    </row>
    <row r="227" spans="1:7" x14ac:dyDescent="0.3">
      <c r="A227"/>
      <c r="C227"/>
      <c r="D227" s="3"/>
      <c r="F227" s="1"/>
      <c r="G227"/>
    </row>
    <row r="228" spans="1:7" x14ac:dyDescent="0.3">
      <c r="A228"/>
      <c r="C228"/>
      <c r="D228" s="3"/>
      <c r="F228" s="1"/>
      <c r="G228"/>
    </row>
    <row r="229" spans="1:7" x14ac:dyDescent="0.3">
      <c r="A229"/>
      <c r="C229"/>
      <c r="D229" s="3"/>
      <c r="F229" s="1"/>
      <c r="G229"/>
    </row>
    <row r="230" spans="1:7" x14ac:dyDescent="0.3">
      <c r="A230"/>
      <c r="C230"/>
      <c r="D230" s="3"/>
      <c r="F230" s="1"/>
      <c r="G230"/>
    </row>
    <row r="231" spans="1:7" x14ac:dyDescent="0.3">
      <c r="A231"/>
      <c r="C231"/>
      <c r="D231" s="3"/>
      <c r="F231" s="1"/>
      <c r="G231"/>
    </row>
  </sheetData>
  <mergeCells count="12">
    <mergeCell ref="I4:I10"/>
    <mergeCell ref="J4:J10"/>
    <mergeCell ref="K4:K10"/>
    <mergeCell ref="L4:L10"/>
    <mergeCell ref="A12:A22"/>
    <mergeCell ref="E15:E17"/>
    <mergeCell ref="A4:A10"/>
    <mergeCell ref="B4:B10"/>
    <mergeCell ref="C4:C10"/>
    <mergeCell ref="D4:D10"/>
    <mergeCell ref="G4:G10"/>
    <mergeCell ref="H4:H10"/>
  </mergeCells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L235"/>
  <sheetViews>
    <sheetView zoomScale="70" zoomScaleNormal="70" workbookViewId="0">
      <selection activeCell="F4" sqref="F4:F8"/>
    </sheetView>
  </sheetViews>
  <sheetFormatPr baseColWidth="10" defaultColWidth="11.44140625" defaultRowHeight="14.4" x14ac:dyDescent="0.3"/>
  <cols>
    <col min="1" max="1" width="26.33203125" style="29" customWidth="1"/>
    <col min="2" max="2" width="86.88671875" bestFit="1" customWidth="1"/>
    <col min="3" max="3" width="28.109375" style="3" bestFit="1" customWidth="1"/>
    <col min="4" max="4" width="27.6640625" style="50" customWidth="1"/>
    <col min="5" max="5" width="35.88671875" bestFit="1" customWidth="1"/>
    <col min="6" max="6" width="13.44140625" style="3" customWidth="1"/>
    <col min="7" max="7" width="34.44140625" style="1" bestFit="1" customWidth="1"/>
    <col min="8" max="8" width="36" bestFit="1" customWidth="1"/>
    <col min="9" max="9" width="20.109375" bestFit="1" customWidth="1"/>
    <col min="10" max="10" width="22.5546875" customWidth="1"/>
    <col min="11" max="11" width="40.6640625" bestFit="1" customWidth="1"/>
    <col min="12" max="12" width="16" customWidth="1"/>
  </cols>
  <sheetData>
    <row r="1" spans="1:12" x14ac:dyDescent="0.3">
      <c r="A1" s="31" t="s">
        <v>4</v>
      </c>
      <c r="B1" s="30" t="s">
        <v>5</v>
      </c>
      <c r="C1" s="30" t="s">
        <v>6</v>
      </c>
      <c r="D1" s="32" t="s">
        <v>7</v>
      </c>
      <c r="E1" s="30" t="s">
        <v>8</v>
      </c>
      <c r="F1" s="30" t="s">
        <v>9</v>
      </c>
      <c r="G1" s="30" t="s">
        <v>10</v>
      </c>
      <c r="H1" s="30" t="s">
        <v>11</v>
      </c>
      <c r="I1" s="30" t="s">
        <v>12</v>
      </c>
      <c r="J1" s="30" t="s">
        <v>13</v>
      </c>
      <c r="K1" s="30" t="s">
        <v>16</v>
      </c>
      <c r="L1" s="30" t="s">
        <v>17</v>
      </c>
    </row>
    <row r="2" spans="1:12" x14ac:dyDescent="0.3">
      <c r="A2" s="31"/>
      <c r="B2" s="113" t="s">
        <v>169</v>
      </c>
      <c r="C2" s="33"/>
      <c r="D2" s="49"/>
      <c r="E2" s="34"/>
      <c r="F2" s="33"/>
      <c r="G2" s="35"/>
      <c r="H2" s="34"/>
      <c r="I2" s="34"/>
      <c r="J2" s="34"/>
      <c r="K2" s="34"/>
      <c r="L2" s="34"/>
    </row>
    <row r="3" spans="1:12" ht="15" customHeight="1" thickBot="1" x14ac:dyDescent="0.35"/>
    <row r="4" spans="1:12" ht="15.75" customHeight="1" x14ac:dyDescent="0.3">
      <c r="A4" s="1071" t="s">
        <v>168</v>
      </c>
      <c r="B4" s="1025" t="s">
        <v>169</v>
      </c>
      <c r="C4" s="1031"/>
      <c r="D4" s="1034" t="s">
        <v>157</v>
      </c>
      <c r="E4" s="125" t="s">
        <v>234</v>
      </c>
      <c r="F4" s="125">
        <f>SUM(F5:F9)</f>
        <v>1.8340000000000001</v>
      </c>
      <c r="G4" s="1043"/>
      <c r="H4" s="1007" t="s">
        <v>504</v>
      </c>
      <c r="I4" s="1007" t="s">
        <v>160</v>
      </c>
      <c r="J4" s="1181" t="s">
        <v>161</v>
      </c>
      <c r="K4" s="1016">
        <v>1800</v>
      </c>
      <c r="L4" s="1136" t="s">
        <v>44</v>
      </c>
    </row>
    <row r="5" spans="1:12" x14ac:dyDescent="0.3">
      <c r="A5" s="1113"/>
      <c r="B5" s="1026"/>
      <c r="C5" s="1032"/>
      <c r="D5" s="1035"/>
      <c r="E5" s="340" t="s">
        <v>249</v>
      </c>
      <c r="F5" s="340">
        <f>SUM(F13)</f>
        <v>1.091</v>
      </c>
      <c r="G5" s="985"/>
      <c r="H5" s="1008"/>
      <c r="I5" s="1008"/>
      <c r="J5" s="1182"/>
      <c r="K5" s="1145"/>
      <c r="L5" s="1142"/>
    </row>
    <row r="6" spans="1:12" x14ac:dyDescent="0.3">
      <c r="A6" s="1113"/>
      <c r="B6" s="1026"/>
      <c r="C6" s="1032"/>
      <c r="D6" s="1035"/>
      <c r="E6" s="345" t="s">
        <v>266</v>
      </c>
      <c r="F6" s="345">
        <f>SUM(F14:F14)</f>
        <v>0.71499999999999997</v>
      </c>
      <c r="G6" s="985"/>
      <c r="H6" s="1008"/>
      <c r="I6" s="1008"/>
      <c r="J6" s="1182"/>
      <c r="K6" s="1145"/>
      <c r="L6" s="1142"/>
    </row>
    <row r="7" spans="1:12" x14ac:dyDescent="0.3">
      <c r="A7" s="1113"/>
      <c r="B7" s="1026"/>
      <c r="C7" s="1032"/>
      <c r="D7" s="1035"/>
      <c r="E7" s="350" t="s">
        <v>506</v>
      </c>
      <c r="F7" s="350">
        <f>SUM(F15:F20)</f>
        <v>2.1999999999999999E-2</v>
      </c>
      <c r="G7" s="985"/>
      <c r="H7" s="1008"/>
      <c r="I7" s="1008"/>
      <c r="J7" s="1182"/>
      <c r="K7" s="1145"/>
      <c r="L7" s="1142"/>
    </row>
    <row r="8" spans="1:12" x14ac:dyDescent="0.3">
      <c r="A8" s="1113"/>
      <c r="B8" s="1026"/>
      <c r="C8" s="1032"/>
      <c r="D8" s="1035"/>
      <c r="E8" s="358" t="s">
        <v>247</v>
      </c>
      <c r="F8" s="358">
        <f>SUM(F21:F22)</f>
        <v>6.0000000000000001E-3</v>
      </c>
      <c r="G8" s="985"/>
      <c r="H8" s="1008"/>
      <c r="I8" s="1008"/>
      <c r="J8" s="1182"/>
      <c r="K8" s="1145"/>
      <c r="L8" s="1142"/>
    </row>
    <row r="9" spans="1:12" x14ac:dyDescent="0.3">
      <c r="A9" s="1113"/>
      <c r="B9" s="1026"/>
      <c r="C9" s="1032"/>
      <c r="D9" s="1035"/>
      <c r="E9" s="123"/>
      <c r="F9" s="123"/>
      <c r="G9" s="985"/>
      <c r="H9" s="1008"/>
      <c r="I9" s="1008"/>
      <c r="J9" s="1182"/>
      <c r="K9" s="1145"/>
      <c r="L9" s="1142"/>
    </row>
    <row r="10" spans="1:12" ht="15" thickBot="1" x14ac:dyDescent="0.35">
      <c r="A10" s="1072"/>
      <c r="B10" s="1027"/>
      <c r="C10" s="1033"/>
      <c r="D10" s="1036"/>
      <c r="E10" s="80"/>
      <c r="F10" s="53"/>
      <c r="G10" s="1044"/>
      <c r="H10" s="1009"/>
      <c r="I10" s="1009"/>
      <c r="J10" s="1183"/>
      <c r="K10" s="1018"/>
      <c r="L10" s="1138"/>
    </row>
    <row r="11" spans="1:12" ht="15" thickBot="1" x14ac:dyDescent="0.35">
      <c r="A11"/>
      <c r="C11"/>
      <c r="D11" s="3"/>
      <c r="F11" s="1"/>
      <c r="G11"/>
    </row>
    <row r="12" spans="1:12" x14ac:dyDescent="0.3">
      <c r="A12" s="1071" t="s">
        <v>168</v>
      </c>
      <c r="B12" s="83" t="s">
        <v>169</v>
      </c>
      <c r="C12" s="44"/>
      <c r="D12" s="44"/>
      <c r="E12" s="90" t="s">
        <v>532</v>
      </c>
      <c r="F12" s="92">
        <f>SUM(F13:F22)</f>
        <v>1.8339999999999999</v>
      </c>
      <c r="G12" s="5"/>
      <c r="H12" s="38"/>
      <c r="I12" s="5"/>
      <c r="J12" s="5"/>
      <c r="K12" s="5"/>
      <c r="L12" s="6"/>
    </row>
    <row r="13" spans="1:12" x14ac:dyDescent="0.3">
      <c r="A13" s="1113"/>
      <c r="B13" s="341" t="s">
        <v>1154</v>
      </c>
      <c r="C13" s="17"/>
      <c r="D13" s="69"/>
      <c r="E13" s="342" t="s">
        <v>249</v>
      </c>
      <c r="F13" s="343">
        <v>1.091</v>
      </c>
      <c r="G13" s="3"/>
      <c r="H13" s="3"/>
      <c r="L13" s="8"/>
    </row>
    <row r="14" spans="1:12" x14ac:dyDescent="0.3">
      <c r="A14" s="1113"/>
      <c r="B14" s="347" t="s">
        <v>1155</v>
      </c>
      <c r="C14" s="17"/>
      <c r="D14" s="3"/>
      <c r="E14" s="346" t="s">
        <v>266</v>
      </c>
      <c r="F14" s="346">
        <v>0.71499999999999997</v>
      </c>
      <c r="G14" s="3"/>
      <c r="L14" s="8"/>
    </row>
    <row r="15" spans="1:12" x14ac:dyDescent="0.3">
      <c r="A15" s="1113"/>
      <c r="B15" s="348" t="s">
        <v>1156</v>
      </c>
      <c r="C15" s="17"/>
      <c r="D15" s="3"/>
      <c r="E15" s="1185" t="s">
        <v>506</v>
      </c>
      <c r="F15" s="349">
        <v>8.0000000000000002E-3</v>
      </c>
      <c r="G15" s="3"/>
      <c r="L15" s="8"/>
    </row>
    <row r="16" spans="1:12" x14ac:dyDescent="0.3">
      <c r="A16" s="1113"/>
      <c r="B16" s="348" t="s">
        <v>1157</v>
      </c>
      <c r="C16" s="17"/>
      <c r="D16" s="3"/>
      <c r="E16" s="1185"/>
      <c r="F16" s="349">
        <v>4.0000000000000001E-3</v>
      </c>
      <c r="G16" s="3"/>
      <c r="L16" s="8"/>
    </row>
    <row r="17" spans="1:12" x14ac:dyDescent="0.3">
      <c r="A17" s="1113"/>
      <c r="B17" s="348" t="s">
        <v>1151</v>
      </c>
      <c r="C17" s="17"/>
      <c r="D17" s="3"/>
      <c r="E17" s="1185"/>
      <c r="F17" s="349">
        <v>3.0000000000000001E-3</v>
      </c>
      <c r="G17" s="3"/>
      <c r="L17" s="8"/>
    </row>
    <row r="18" spans="1:12" x14ac:dyDescent="0.3">
      <c r="A18" s="1113"/>
      <c r="B18" s="348" t="s">
        <v>1158</v>
      </c>
      <c r="C18" s="17"/>
      <c r="D18" s="3"/>
      <c r="E18" s="1185"/>
      <c r="F18" s="349">
        <v>4.0000000000000001E-3</v>
      </c>
      <c r="G18" s="3"/>
      <c r="L18" s="8"/>
    </row>
    <row r="19" spans="1:12" x14ac:dyDescent="0.3">
      <c r="A19" s="1113"/>
      <c r="B19" s="348" t="s">
        <v>1159</v>
      </c>
      <c r="C19" s="17"/>
      <c r="D19" s="3"/>
      <c r="E19" s="349"/>
      <c r="F19" s="349">
        <v>1E-3</v>
      </c>
      <c r="G19" s="3"/>
      <c r="L19" s="8"/>
    </row>
    <row r="20" spans="1:12" x14ac:dyDescent="0.3">
      <c r="A20" s="1113"/>
      <c r="B20" s="348" t="s">
        <v>1160</v>
      </c>
      <c r="C20" s="17"/>
      <c r="D20" s="3"/>
      <c r="E20" s="349"/>
      <c r="F20" s="349">
        <v>2E-3</v>
      </c>
      <c r="G20" s="3"/>
      <c r="L20" s="8"/>
    </row>
    <row r="21" spans="1:12" x14ac:dyDescent="0.3">
      <c r="A21" s="1113"/>
      <c r="B21" s="356" t="s">
        <v>1161</v>
      </c>
      <c r="C21" s="17"/>
      <c r="D21" s="3"/>
      <c r="E21" s="357" t="s">
        <v>247</v>
      </c>
      <c r="F21" s="357">
        <v>2E-3</v>
      </c>
      <c r="G21" s="3"/>
      <c r="L21" s="8"/>
    </row>
    <row r="22" spans="1:12" x14ac:dyDescent="0.3">
      <c r="A22" s="1113"/>
      <c r="B22" s="356" t="s">
        <v>1162</v>
      </c>
      <c r="C22" s="17"/>
      <c r="D22" s="3"/>
      <c r="E22" s="357"/>
      <c r="F22" s="357">
        <v>4.0000000000000001E-3</v>
      </c>
      <c r="G22" s="3"/>
      <c r="L22" s="8"/>
    </row>
    <row r="23" spans="1:12" x14ac:dyDescent="0.3">
      <c r="A23" s="1113"/>
      <c r="B23" s="112"/>
      <c r="C23" s="17"/>
      <c r="D23" s="3"/>
      <c r="E23" s="119"/>
      <c r="F23" s="119"/>
      <c r="G23" s="3"/>
      <c r="L23" s="8"/>
    </row>
    <row r="24" spans="1:12" x14ac:dyDescent="0.3">
      <c r="A24" s="1113"/>
      <c r="B24" s="112"/>
      <c r="C24" s="17"/>
      <c r="D24" s="3"/>
      <c r="E24" s="119"/>
      <c r="F24" s="119"/>
      <c r="G24" s="3"/>
      <c r="L24" s="8"/>
    </row>
    <row r="25" spans="1:12" x14ac:dyDescent="0.3">
      <c r="A25" s="1113"/>
      <c r="B25" s="112"/>
      <c r="C25" s="17"/>
      <c r="D25" s="3"/>
      <c r="E25" s="119"/>
      <c r="F25" s="119"/>
      <c r="G25" s="3"/>
      <c r="L25" s="8"/>
    </row>
    <row r="26" spans="1:12" ht="15" thickBot="1" x14ac:dyDescent="0.35">
      <c r="A26" s="1072"/>
      <c r="B26" s="89"/>
      <c r="C26" s="11"/>
      <c r="D26" s="9"/>
      <c r="E26" s="91"/>
      <c r="F26" s="91"/>
      <c r="G26" s="9"/>
      <c r="H26" s="9"/>
      <c r="I26" s="9"/>
      <c r="J26" s="9"/>
      <c r="K26" s="9"/>
      <c r="L26" s="10"/>
    </row>
    <row r="27" spans="1:12" x14ac:dyDescent="0.3">
      <c r="A27"/>
      <c r="C27"/>
      <c r="D27"/>
      <c r="F27"/>
      <c r="G27"/>
    </row>
    <row r="28" spans="1:12" x14ac:dyDescent="0.3">
      <c r="A28"/>
      <c r="C28"/>
      <c r="D28"/>
      <c r="F28"/>
      <c r="G28"/>
    </row>
    <row r="29" spans="1:12" x14ac:dyDescent="0.3">
      <c r="A29"/>
      <c r="C29"/>
      <c r="D29"/>
      <c r="F29"/>
      <c r="G29"/>
    </row>
    <row r="30" spans="1:12" x14ac:dyDescent="0.3">
      <c r="A30"/>
      <c r="C30"/>
      <c r="D30"/>
      <c r="F30"/>
      <c r="G30"/>
    </row>
    <row r="31" spans="1:12" x14ac:dyDescent="0.3">
      <c r="A31"/>
      <c r="C31"/>
      <c r="D31"/>
      <c r="F31"/>
      <c r="G31"/>
    </row>
    <row r="32" spans="1:12" x14ac:dyDescent="0.3">
      <c r="A32"/>
      <c r="C32"/>
      <c r="D32"/>
      <c r="F32"/>
      <c r="G32"/>
    </row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ht="15" customHeigh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ht="15" customHeight="1" x14ac:dyDescent="0.3"/>
    <row r="69" customFormat="1" x14ac:dyDescent="0.3"/>
    <row r="70" customFormat="1" x14ac:dyDescent="0.3"/>
    <row r="71" customFormat="1" x14ac:dyDescent="0.3"/>
    <row r="72" customFormat="1" ht="15" customHeight="1" x14ac:dyDescent="0.3"/>
    <row r="73" customFormat="1" x14ac:dyDescent="0.3"/>
    <row r="74" customFormat="1" x14ac:dyDescent="0.3"/>
    <row r="75" customFormat="1" ht="15" customHeigh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ht="15" customHeight="1" x14ac:dyDescent="0.3"/>
    <row r="111" customFormat="1" x14ac:dyDescent="0.3"/>
    <row r="112" customFormat="1" x14ac:dyDescent="0.3"/>
    <row r="113" customFormat="1" ht="15" customHeigh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ht="15" customHeigh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ht="15" customHeight="1" x14ac:dyDescent="0.3"/>
    <row r="142" customFormat="1" x14ac:dyDescent="0.3"/>
    <row r="143" customFormat="1" x14ac:dyDescent="0.3"/>
    <row r="144" customFormat="1" x14ac:dyDescent="0.3"/>
    <row r="145" spans="1:7" customFormat="1" x14ac:dyDescent="0.3"/>
    <row r="146" spans="1:7" customFormat="1" x14ac:dyDescent="0.3"/>
    <row r="147" spans="1:7" customFormat="1" x14ac:dyDescent="0.3"/>
    <row r="148" spans="1:7" x14ac:dyDescent="0.3">
      <c r="A148"/>
      <c r="C148"/>
      <c r="D148" s="3"/>
      <c r="F148" s="1"/>
      <c r="G148"/>
    </row>
    <row r="149" spans="1:7" x14ac:dyDescent="0.3">
      <c r="A149"/>
      <c r="C149"/>
      <c r="D149" s="3"/>
      <c r="F149" s="1"/>
      <c r="G149"/>
    </row>
    <row r="150" spans="1:7" x14ac:dyDescent="0.3">
      <c r="A150"/>
      <c r="C150"/>
      <c r="D150" s="3"/>
      <c r="F150" s="1"/>
      <c r="G150"/>
    </row>
    <row r="151" spans="1:7" x14ac:dyDescent="0.3">
      <c r="A151"/>
      <c r="C151"/>
      <c r="D151" s="3"/>
      <c r="F151" s="1"/>
      <c r="G151"/>
    </row>
    <row r="152" spans="1:7" x14ac:dyDescent="0.3">
      <c r="A152"/>
      <c r="C152"/>
      <c r="D152" s="3"/>
      <c r="F152" s="1"/>
      <c r="G152"/>
    </row>
    <row r="153" spans="1:7" x14ac:dyDescent="0.3">
      <c r="A153"/>
      <c r="C153"/>
      <c r="D153" s="3"/>
      <c r="F153" s="1"/>
      <c r="G153"/>
    </row>
    <row r="154" spans="1:7" x14ac:dyDescent="0.3">
      <c r="A154"/>
      <c r="C154"/>
      <c r="D154" s="3"/>
      <c r="F154" s="1"/>
      <c r="G154"/>
    </row>
    <row r="155" spans="1:7" x14ac:dyDescent="0.3">
      <c r="A155"/>
      <c r="C155"/>
      <c r="D155" s="3"/>
      <c r="F155" s="1"/>
      <c r="G155"/>
    </row>
    <row r="156" spans="1:7" x14ac:dyDescent="0.3">
      <c r="A156"/>
      <c r="C156"/>
      <c r="D156" s="3"/>
      <c r="F156" s="1"/>
      <c r="G156"/>
    </row>
    <row r="157" spans="1:7" x14ac:dyDescent="0.3">
      <c r="A157"/>
      <c r="C157"/>
      <c r="D157" s="3"/>
      <c r="F157" s="1"/>
      <c r="G157"/>
    </row>
    <row r="158" spans="1:7" x14ac:dyDescent="0.3">
      <c r="A158"/>
      <c r="C158"/>
      <c r="D158" s="3"/>
      <c r="F158" s="1"/>
      <c r="G158"/>
    </row>
    <row r="159" spans="1:7" x14ac:dyDescent="0.3">
      <c r="A159"/>
      <c r="C159"/>
      <c r="D159" s="3"/>
      <c r="F159" s="1"/>
      <c r="G159"/>
    </row>
    <row r="160" spans="1:7" x14ac:dyDescent="0.3">
      <c r="A160"/>
      <c r="C160"/>
      <c r="D160" s="3"/>
      <c r="F160" s="1"/>
      <c r="G160"/>
    </row>
    <row r="161" spans="1:7" x14ac:dyDescent="0.3">
      <c r="A161"/>
      <c r="C161"/>
      <c r="D161" s="3"/>
      <c r="F161" s="1"/>
      <c r="G161"/>
    </row>
    <row r="162" spans="1:7" x14ac:dyDescent="0.3">
      <c r="A162"/>
      <c r="C162"/>
      <c r="D162" s="3"/>
      <c r="F162" s="1"/>
      <c r="G162"/>
    </row>
    <row r="163" spans="1:7" x14ac:dyDescent="0.3">
      <c r="A163"/>
      <c r="C163"/>
      <c r="D163" s="3"/>
      <c r="F163" s="1"/>
      <c r="G163"/>
    </row>
    <row r="164" spans="1:7" x14ac:dyDescent="0.3">
      <c r="A164"/>
      <c r="C164"/>
      <c r="D164" s="3"/>
      <c r="F164" s="1"/>
      <c r="G164"/>
    </row>
    <row r="165" spans="1:7" x14ac:dyDescent="0.3">
      <c r="A165"/>
      <c r="C165"/>
      <c r="D165" s="3"/>
      <c r="F165" s="1"/>
      <c r="G165"/>
    </row>
    <row r="166" spans="1:7" x14ac:dyDescent="0.3">
      <c r="A166"/>
      <c r="C166"/>
      <c r="D166" s="3"/>
      <c r="F166" s="1"/>
      <c r="G166"/>
    </row>
    <row r="167" spans="1:7" x14ac:dyDescent="0.3">
      <c r="A167"/>
      <c r="C167"/>
      <c r="D167" s="3"/>
      <c r="F167" s="1"/>
      <c r="G167"/>
    </row>
    <row r="168" spans="1:7" x14ac:dyDescent="0.3">
      <c r="A168"/>
      <c r="C168"/>
      <c r="D168" s="3"/>
      <c r="F168" s="1"/>
      <c r="G168"/>
    </row>
    <row r="169" spans="1:7" x14ac:dyDescent="0.3">
      <c r="A169"/>
      <c r="C169"/>
      <c r="D169" s="3"/>
      <c r="F169" s="1"/>
      <c r="G169"/>
    </row>
    <row r="170" spans="1:7" x14ac:dyDescent="0.3">
      <c r="A170"/>
      <c r="C170"/>
      <c r="D170" s="3"/>
      <c r="F170" s="1"/>
      <c r="G170"/>
    </row>
    <row r="171" spans="1:7" x14ac:dyDescent="0.3">
      <c r="A171"/>
      <c r="C171"/>
      <c r="D171" s="3"/>
      <c r="F171" s="1"/>
      <c r="G171"/>
    </row>
    <row r="172" spans="1:7" x14ac:dyDescent="0.3">
      <c r="A172"/>
      <c r="C172"/>
      <c r="D172" s="3"/>
      <c r="F172" s="1"/>
      <c r="G172"/>
    </row>
    <row r="173" spans="1:7" x14ac:dyDescent="0.3">
      <c r="A173"/>
      <c r="C173"/>
      <c r="D173" s="3"/>
      <c r="F173" s="1"/>
      <c r="G173"/>
    </row>
    <row r="174" spans="1:7" x14ac:dyDescent="0.3">
      <c r="A174"/>
      <c r="C174"/>
      <c r="D174" s="3"/>
      <c r="F174" s="1"/>
      <c r="G174"/>
    </row>
    <row r="175" spans="1:7" x14ac:dyDescent="0.3">
      <c r="A175"/>
      <c r="C175"/>
      <c r="D175" s="3"/>
      <c r="F175" s="1"/>
      <c r="G175"/>
    </row>
    <row r="176" spans="1:7" x14ac:dyDescent="0.3">
      <c r="A176"/>
      <c r="C176"/>
      <c r="D176" s="3"/>
      <c r="F176" s="1"/>
      <c r="G176"/>
    </row>
    <row r="177" spans="1:7" x14ac:dyDescent="0.3">
      <c r="A177"/>
      <c r="C177"/>
      <c r="D177" s="3"/>
      <c r="F177" s="1"/>
      <c r="G177"/>
    </row>
    <row r="178" spans="1:7" x14ac:dyDescent="0.3">
      <c r="A178"/>
      <c r="C178"/>
      <c r="D178" s="3"/>
      <c r="F178" s="1"/>
      <c r="G178"/>
    </row>
    <row r="179" spans="1:7" x14ac:dyDescent="0.3">
      <c r="A179"/>
      <c r="C179"/>
      <c r="D179" s="3"/>
      <c r="F179" s="1"/>
      <c r="G179"/>
    </row>
    <row r="180" spans="1:7" x14ac:dyDescent="0.3">
      <c r="A180"/>
      <c r="C180"/>
      <c r="D180" s="3"/>
      <c r="F180" s="1"/>
      <c r="G180"/>
    </row>
    <row r="181" spans="1:7" x14ac:dyDescent="0.3">
      <c r="A181"/>
      <c r="C181"/>
      <c r="D181" s="3"/>
      <c r="F181" s="1"/>
      <c r="G181"/>
    </row>
    <row r="182" spans="1:7" x14ac:dyDescent="0.3">
      <c r="A182"/>
      <c r="C182"/>
      <c r="D182" s="3"/>
      <c r="F182" s="1"/>
      <c r="G182"/>
    </row>
    <row r="183" spans="1:7" x14ac:dyDescent="0.3">
      <c r="A183"/>
      <c r="C183"/>
      <c r="D183" s="3"/>
      <c r="F183" s="1"/>
      <c r="G183"/>
    </row>
    <row r="184" spans="1:7" x14ac:dyDescent="0.3">
      <c r="A184"/>
      <c r="C184"/>
      <c r="D184" s="3"/>
      <c r="F184" s="1"/>
      <c r="G184"/>
    </row>
    <row r="185" spans="1:7" x14ac:dyDescent="0.3">
      <c r="A185"/>
      <c r="C185"/>
      <c r="D185" s="3"/>
      <c r="F185" s="1"/>
      <c r="G185"/>
    </row>
    <row r="186" spans="1:7" x14ac:dyDescent="0.3">
      <c r="A186"/>
      <c r="C186"/>
      <c r="D186" s="3"/>
      <c r="F186" s="1"/>
      <c r="G186"/>
    </row>
    <row r="187" spans="1:7" x14ac:dyDescent="0.3">
      <c r="A187"/>
      <c r="C187"/>
      <c r="D187" s="3"/>
      <c r="F187" s="1"/>
      <c r="G187"/>
    </row>
    <row r="188" spans="1:7" x14ac:dyDescent="0.3">
      <c r="A188"/>
      <c r="C188"/>
      <c r="D188" s="3"/>
      <c r="F188" s="1"/>
      <c r="G188"/>
    </row>
    <row r="189" spans="1:7" x14ac:dyDescent="0.3">
      <c r="A189"/>
      <c r="C189"/>
      <c r="D189" s="3"/>
      <c r="F189" s="1"/>
      <c r="G189"/>
    </row>
    <row r="190" spans="1:7" x14ac:dyDescent="0.3">
      <c r="A190"/>
      <c r="C190"/>
      <c r="D190" s="3"/>
      <c r="F190" s="1"/>
      <c r="G190"/>
    </row>
    <row r="191" spans="1:7" x14ac:dyDescent="0.3">
      <c r="A191"/>
      <c r="C191"/>
      <c r="D191" s="3"/>
      <c r="F191" s="1"/>
      <c r="G191"/>
    </row>
    <row r="192" spans="1:7" x14ac:dyDescent="0.3">
      <c r="A192"/>
      <c r="C192"/>
      <c r="D192" s="3"/>
      <c r="F192" s="1"/>
      <c r="G192"/>
    </row>
    <row r="193" spans="1:7" x14ac:dyDescent="0.3">
      <c r="A193"/>
      <c r="C193"/>
      <c r="D193" s="3"/>
      <c r="F193" s="1"/>
      <c r="G193"/>
    </row>
    <row r="194" spans="1:7" x14ac:dyDescent="0.3">
      <c r="A194"/>
      <c r="C194"/>
      <c r="D194" s="3"/>
      <c r="F194" s="1"/>
      <c r="G194"/>
    </row>
    <row r="195" spans="1:7" x14ac:dyDescent="0.3">
      <c r="A195"/>
      <c r="C195"/>
      <c r="D195" s="3"/>
      <c r="F195" s="1"/>
      <c r="G195"/>
    </row>
    <row r="196" spans="1:7" x14ac:dyDescent="0.3">
      <c r="A196"/>
      <c r="C196"/>
      <c r="D196" s="3"/>
      <c r="F196" s="1"/>
      <c r="G196"/>
    </row>
    <row r="197" spans="1:7" x14ac:dyDescent="0.3">
      <c r="A197"/>
      <c r="C197"/>
      <c r="D197" s="3"/>
      <c r="F197" s="1"/>
      <c r="G197"/>
    </row>
    <row r="198" spans="1:7" x14ac:dyDescent="0.3">
      <c r="A198"/>
      <c r="C198"/>
      <c r="D198" s="3"/>
      <c r="F198" s="1"/>
      <c r="G198"/>
    </row>
    <row r="199" spans="1:7" x14ac:dyDescent="0.3">
      <c r="A199"/>
      <c r="C199"/>
      <c r="D199" s="3"/>
      <c r="F199" s="1"/>
      <c r="G199"/>
    </row>
    <row r="200" spans="1:7" x14ac:dyDescent="0.3">
      <c r="A200"/>
      <c r="C200"/>
      <c r="D200" s="3"/>
      <c r="F200" s="1"/>
      <c r="G200"/>
    </row>
    <row r="201" spans="1:7" x14ac:dyDescent="0.3">
      <c r="A201"/>
      <c r="C201"/>
      <c r="D201" s="3"/>
      <c r="F201" s="1"/>
      <c r="G201"/>
    </row>
    <row r="202" spans="1:7" x14ac:dyDescent="0.3">
      <c r="A202"/>
      <c r="C202"/>
      <c r="D202" s="3"/>
      <c r="F202" s="1"/>
      <c r="G202"/>
    </row>
    <row r="203" spans="1:7" x14ac:dyDescent="0.3">
      <c r="A203"/>
      <c r="C203"/>
      <c r="D203" s="3"/>
      <c r="F203" s="1"/>
      <c r="G203"/>
    </row>
    <row r="204" spans="1:7" x14ac:dyDescent="0.3">
      <c r="A204"/>
      <c r="C204"/>
      <c r="D204" s="3"/>
      <c r="F204" s="1"/>
      <c r="G204"/>
    </row>
    <row r="205" spans="1:7" ht="15" customHeight="1" x14ac:dyDescent="0.3">
      <c r="A205"/>
      <c r="C205"/>
      <c r="D205" s="3"/>
      <c r="F205" s="1"/>
      <c r="G205"/>
    </row>
    <row r="206" spans="1:7" x14ac:dyDescent="0.3">
      <c r="A206"/>
      <c r="C206"/>
      <c r="D206" s="3"/>
      <c r="F206" s="1"/>
      <c r="G206"/>
    </row>
    <row r="207" spans="1:7" x14ac:dyDescent="0.3">
      <c r="A207"/>
      <c r="C207"/>
      <c r="D207" s="3"/>
      <c r="F207" s="1"/>
      <c r="G207"/>
    </row>
    <row r="208" spans="1:7" x14ac:dyDescent="0.3">
      <c r="A208"/>
      <c r="C208"/>
      <c r="D208" s="3"/>
      <c r="F208" s="1"/>
      <c r="G208"/>
    </row>
    <row r="209" spans="1:7" x14ac:dyDescent="0.3">
      <c r="A209"/>
      <c r="C209"/>
      <c r="D209" s="3"/>
      <c r="F209" s="1"/>
      <c r="G209"/>
    </row>
    <row r="210" spans="1:7" x14ac:dyDescent="0.3">
      <c r="A210"/>
      <c r="C210"/>
      <c r="D210" s="3"/>
      <c r="F210" s="1"/>
      <c r="G210"/>
    </row>
    <row r="211" spans="1:7" x14ac:dyDescent="0.3">
      <c r="A211"/>
      <c r="C211"/>
      <c r="D211" s="3"/>
      <c r="F211" s="1"/>
      <c r="G211"/>
    </row>
    <row r="212" spans="1:7" x14ac:dyDescent="0.3">
      <c r="A212"/>
      <c r="C212"/>
      <c r="D212" s="3"/>
      <c r="F212" s="1"/>
      <c r="G212"/>
    </row>
    <row r="213" spans="1:7" x14ac:dyDescent="0.3">
      <c r="A213"/>
      <c r="C213"/>
      <c r="D213" s="3"/>
      <c r="F213" s="1"/>
      <c r="G213"/>
    </row>
    <row r="214" spans="1:7" x14ac:dyDescent="0.3">
      <c r="A214"/>
      <c r="C214"/>
      <c r="D214" s="3"/>
      <c r="F214" s="1"/>
      <c r="G214"/>
    </row>
    <row r="215" spans="1:7" x14ac:dyDescent="0.3">
      <c r="A215"/>
      <c r="C215"/>
      <c r="D215" s="3"/>
      <c r="F215" s="1"/>
      <c r="G215"/>
    </row>
    <row r="216" spans="1:7" x14ac:dyDescent="0.3">
      <c r="A216"/>
      <c r="C216"/>
      <c r="D216" s="3"/>
      <c r="F216" s="1"/>
      <c r="G216"/>
    </row>
    <row r="217" spans="1:7" x14ac:dyDescent="0.3">
      <c r="A217"/>
      <c r="C217"/>
      <c r="D217" s="3"/>
      <c r="F217" s="1"/>
      <c r="G217"/>
    </row>
    <row r="218" spans="1:7" x14ac:dyDescent="0.3">
      <c r="A218"/>
      <c r="C218"/>
      <c r="D218" s="3"/>
      <c r="F218" s="1"/>
      <c r="G218"/>
    </row>
    <row r="219" spans="1:7" x14ac:dyDescent="0.3">
      <c r="A219"/>
      <c r="C219"/>
      <c r="D219" s="3"/>
      <c r="F219" s="1"/>
      <c r="G219"/>
    </row>
    <row r="220" spans="1:7" x14ac:dyDescent="0.3">
      <c r="A220"/>
      <c r="C220"/>
      <c r="D220" s="3"/>
      <c r="F220" s="1"/>
      <c r="G220"/>
    </row>
    <row r="221" spans="1:7" ht="15" customHeight="1" x14ac:dyDescent="0.3">
      <c r="A221"/>
      <c r="C221"/>
      <c r="D221" s="3"/>
      <c r="F221" s="1"/>
      <c r="G221"/>
    </row>
    <row r="222" spans="1:7" x14ac:dyDescent="0.3">
      <c r="A222"/>
      <c r="C222"/>
      <c r="D222" s="3"/>
      <c r="F222" s="1"/>
      <c r="G222"/>
    </row>
    <row r="223" spans="1:7" x14ac:dyDescent="0.3">
      <c r="A223"/>
      <c r="C223"/>
      <c r="D223" s="3"/>
      <c r="F223" s="1"/>
      <c r="G223"/>
    </row>
    <row r="224" spans="1:7" x14ac:dyDescent="0.3">
      <c r="A224"/>
      <c r="C224"/>
      <c r="D224" s="3"/>
      <c r="F224" s="1"/>
      <c r="G224"/>
    </row>
    <row r="225" spans="1:7" x14ac:dyDescent="0.3">
      <c r="A225"/>
      <c r="C225"/>
      <c r="D225" s="3"/>
      <c r="F225" s="1"/>
      <c r="G225"/>
    </row>
    <row r="226" spans="1:7" x14ac:dyDescent="0.3">
      <c r="A226"/>
      <c r="C226"/>
      <c r="D226" s="3"/>
      <c r="F226" s="1"/>
      <c r="G226"/>
    </row>
    <row r="227" spans="1:7" x14ac:dyDescent="0.3">
      <c r="A227"/>
      <c r="C227"/>
      <c r="D227" s="3"/>
      <c r="F227" s="1"/>
      <c r="G227"/>
    </row>
    <row r="228" spans="1:7" x14ac:dyDescent="0.3">
      <c r="A228"/>
      <c r="C228"/>
      <c r="D228" s="3"/>
      <c r="F228" s="1"/>
      <c r="G228"/>
    </row>
    <row r="229" spans="1:7" x14ac:dyDescent="0.3">
      <c r="A229"/>
      <c r="C229"/>
      <c r="D229" s="3"/>
      <c r="F229" s="1"/>
      <c r="G229"/>
    </row>
    <row r="230" spans="1:7" x14ac:dyDescent="0.3">
      <c r="A230"/>
      <c r="C230"/>
      <c r="D230" s="3"/>
      <c r="F230" s="1"/>
      <c r="G230"/>
    </row>
    <row r="231" spans="1:7" x14ac:dyDescent="0.3">
      <c r="A231"/>
      <c r="C231"/>
      <c r="D231" s="3"/>
      <c r="F231" s="1"/>
      <c r="G231"/>
    </row>
    <row r="232" spans="1:7" x14ac:dyDescent="0.3">
      <c r="A232"/>
      <c r="C232"/>
      <c r="D232" s="3"/>
      <c r="F232" s="1"/>
      <c r="G232"/>
    </row>
    <row r="233" spans="1:7" x14ac:dyDescent="0.3">
      <c r="A233"/>
      <c r="C233"/>
      <c r="D233" s="3"/>
      <c r="F233" s="1"/>
      <c r="G233"/>
    </row>
    <row r="234" spans="1:7" x14ac:dyDescent="0.3">
      <c r="A234"/>
      <c r="C234"/>
      <c r="D234" s="3"/>
      <c r="F234" s="1"/>
      <c r="G234"/>
    </row>
    <row r="235" spans="1:7" x14ac:dyDescent="0.3">
      <c r="A235"/>
      <c r="C235"/>
      <c r="D235" s="3"/>
      <c r="F235" s="1"/>
      <c r="G235"/>
    </row>
  </sheetData>
  <mergeCells count="12">
    <mergeCell ref="I4:I10"/>
    <mergeCell ref="J4:J10"/>
    <mergeCell ref="K4:K10"/>
    <mergeCell ref="L4:L10"/>
    <mergeCell ref="A12:A26"/>
    <mergeCell ref="E15:E18"/>
    <mergeCell ref="A4:A10"/>
    <mergeCell ref="B4:B10"/>
    <mergeCell ref="C4:C10"/>
    <mergeCell ref="D4:D10"/>
    <mergeCell ref="G4:G10"/>
    <mergeCell ref="H4:H10"/>
  </mergeCells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K229"/>
  <sheetViews>
    <sheetView topLeftCell="D1" zoomScale="85" zoomScaleNormal="85" workbookViewId="0">
      <selection activeCell="E4" sqref="E4:E7"/>
    </sheetView>
  </sheetViews>
  <sheetFormatPr baseColWidth="10" defaultColWidth="11.44140625" defaultRowHeight="14.4" x14ac:dyDescent="0.3"/>
  <cols>
    <col min="1" max="1" width="26.33203125" style="29" customWidth="1"/>
    <col min="2" max="2" width="86.88671875" bestFit="1" customWidth="1"/>
    <col min="3" max="3" width="27.6640625" style="50" customWidth="1"/>
    <col min="4" max="4" width="35.88671875" bestFit="1" customWidth="1"/>
    <col min="5" max="5" width="13.44140625" style="3" customWidth="1"/>
    <col min="6" max="6" width="34.44140625" style="1" bestFit="1" customWidth="1"/>
    <col min="7" max="7" width="36" bestFit="1" customWidth="1"/>
    <col min="8" max="8" width="20.109375" bestFit="1" customWidth="1"/>
    <col min="9" max="9" width="22.5546875" customWidth="1"/>
    <col min="10" max="10" width="40.6640625" bestFit="1" customWidth="1"/>
    <col min="11" max="11" width="16" customWidth="1"/>
  </cols>
  <sheetData>
    <row r="1" spans="1:11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16</v>
      </c>
      <c r="K1" s="30" t="s">
        <v>17</v>
      </c>
    </row>
    <row r="2" spans="1:11" x14ac:dyDescent="0.3">
      <c r="A2" s="31"/>
      <c r="B2" s="113" t="s">
        <v>171</v>
      </c>
      <c r="C2" s="49"/>
      <c r="D2" s="34"/>
      <c r="E2" s="33"/>
      <c r="F2" s="35"/>
      <c r="G2" s="34"/>
      <c r="H2" s="34"/>
      <c r="I2" s="34"/>
      <c r="J2" s="34"/>
      <c r="K2" s="34"/>
    </row>
    <row r="3" spans="1:11" ht="15" customHeight="1" thickBot="1" x14ac:dyDescent="0.35"/>
    <row r="4" spans="1:11" ht="15.75" customHeight="1" x14ac:dyDescent="0.3">
      <c r="A4" s="1071" t="s">
        <v>170</v>
      </c>
      <c r="B4" s="1025" t="s">
        <v>171</v>
      </c>
      <c r="C4" s="1034" t="s">
        <v>157</v>
      </c>
      <c r="D4" s="125" t="s">
        <v>234</v>
      </c>
      <c r="E4" s="125">
        <f>SUM(E5:E8)</f>
        <v>1.2909999999999999</v>
      </c>
      <c r="F4" s="1043"/>
      <c r="G4" s="1007" t="s">
        <v>504</v>
      </c>
      <c r="H4" s="1007" t="s">
        <v>160</v>
      </c>
      <c r="I4" s="1181" t="s">
        <v>161</v>
      </c>
      <c r="J4" s="1016">
        <v>1800</v>
      </c>
      <c r="K4" s="1136" t="s">
        <v>44</v>
      </c>
    </row>
    <row r="5" spans="1:11" x14ac:dyDescent="0.3">
      <c r="A5" s="1113"/>
      <c r="B5" s="1026"/>
      <c r="C5" s="1035"/>
      <c r="D5" s="340" t="s">
        <v>249</v>
      </c>
      <c r="E5" s="340">
        <f>SUM(E13:E13)</f>
        <v>0.871</v>
      </c>
      <c r="F5" s="985"/>
      <c r="G5" s="1008"/>
      <c r="H5" s="1008"/>
      <c r="I5" s="1182"/>
      <c r="J5" s="1145"/>
      <c r="K5" s="1142"/>
    </row>
    <row r="6" spans="1:11" x14ac:dyDescent="0.3">
      <c r="A6" s="1113"/>
      <c r="B6" s="1026"/>
      <c r="C6" s="1035"/>
      <c r="D6" s="345" t="s">
        <v>266</v>
      </c>
      <c r="E6" s="345">
        <f>SUM(E14:E14)</f>
        <v>0.39500000000000002</v>
      </c>
      <c r="F6" s="985"/>
      <c r="G6" s="1008"/>
      <c r="H6" s="1008"/>
      <c r="I6" s="1182"/>
      <c r="J6" s="1145"/>
      <c r="K6" s="1142"/>
    </row>
    <row r="7" spans="1:11" x14ac:dyDescent="0.3">
      <c r="A7" s="1113"/>
      <c r="B7" s="1026"/>
      <c r="C7" s="1035"/>
      <c r="D7" s="350" t="s">
        <v>506</v>
      </c>
      <c r="E7" s="350">
        <f>SUM(E15:E16)</f>
        <v>2.5000000000000001E-2</v>
      </c>
      <c r="F7" s="985"/>
      <c r="G7" s="1008"/>
      <c r="H7" s="1008"/>
      <c r="I7" s="1182"/>
      <c r="J7" s="1145"/>
      <c r="K7" s="1142"/>
    </row>
    <row r="8" spans="1:11" x14ac:dyDescent="0.3">
      <c r="A8" s="1113"/>
      <c r="B8" s="1026"/>
      <c r="C8" s="1035"/>
      <c r="D8" s="123"/>
      <c r="E8" s="123"/>
      <c r="F8" s="985"/>
      <c r="G8" s="1008"/>
      <c r="H8" s="1008"/>
      <c r="I8" s="1182"/>
      <c r="J8" s="1145"/>
      <c r="K8" s="1142"/>
    </row>
    <row r="9" spans="1:11" x14ac:dyDescent="0.3">
      <c r="A9" s="1113"/>
      <c r="B9" s="1026"/>
      <c r="C9" s="1035"/>
      <c r="D9" s="123"/>
      <c r="E9" s="123"/>
      <c r="F9" s="985"/>
      <c r="G9" s="1008"/>
      <c r="H9" s="1008"/>
      <c r="I9" s="1182"/>
      <c r="J9" s="1145"/>
      <c r="K9" s="1142"/>
    </row>
    <row r="10" spans="1:11" ht="15" thickBot="1" x14ac:dyDescent="0.35">
      <c r="A10" s="1072"/>
      <c r="B10" s="1027"/>
      <c r="C10" s="1036"/>
      <c r="D10" s="80"/>
      <c r="E10" s="53"/>
      <c r="F10" s="1044"/>
      <c r="G10" s="1009"/>
      <c r="H10" s="1009"/>
      <c r="I10" s="1183"/>
      <c r="J10" s="1018"/>
      <c r="K10" s="1138"/>
    </row>
    <row r="11" spans="1:11" ht="15" thickBot="1" x14ac:dyDescent="0.35">
      <c r="A11"/>
      <c r="C11" s="3"/>
      <c r="E11" s="1"/>
      <c r="F11"/>
    </row>
    <row r="12" spans="1:11" x14ac:dyDescent="0.3">
      <c r="A12" s="1071" t="s">
        <v>170</v>
      </c>
      <c r="B12" s="83" t="s">
        <v>171</v>
      </c>
      <c r="C12" s="44"/>
      <c r="D12" s="90" t="s">
        <v>532</v>
      </c>
      <c r="E12" s="92">
        <f>SUM(E13:E16)</f>
        <v>1.2909999999999999</v>
      </c>
      <c r="F12" s="5"/>
      <c r="G12" s="38"/>
      <c r="H12" s="5"/>
      <c r="I12" s="5"/>
      <c r="J12" s="5"/>
      <c r="K12" s="6"/>
    </row>
    <row r="13" spans="1:11" x14ac:dyDescent="0.3">
      <c r="A13" s="1113"/>
      <c r="B13" s="341" t="s">
        <v>1163</v>
      </c>
      <c r="C13" s="69"/>
      <c r="D13" s="342"/>
      <c r="E13" s="343">
        <v>0.871</v>
      </c>
      <c r="F13" s="3"/>
      <c r="G13" s="3"/>
      <c r="K13" s="8"/>
    </row>
    <row r="14" spans="1:11" x14ac:dyDescent="0.3">
      <c r="A14" s="1113"/>
      <c r="B14" s="347" t="s">
        <v>1164</v>
      </c>
      <c r="C14" s="3"/>
      <c r="D14" s="346" t="s">
        <v>266</v>
      </c>
      <c r="E14" s="346">
        <v>0.39500000000000002</v>
      </c>
      <c r="F14" s="3"/>
      <c r="K14" s="8"/>
    </row>
    <row r="15" spans="1:11" x14ac:dyDescent="0.3">
      <c r="A15" s="1113"/>
      <c r="B15" s="348" t="s">
        <v>1165</v>
      </c>
      <c r="C15" s="3"/>
      <c r="D15" s="1185" t="s">
        <v>506</v>
      </c>
      <c r="E15" s="349">
        <v>4.0000000000000001E-3</v>
      </c>
      <c r="F15" s="3"/>
      <c r="K15" s="8"/>
    </row>
    <row r="16" spans="1:11" x14ac:dyDescent="0.3">
      <c r="A16" s="1113"/>
      <c r="B16" s="348" t="s">
        <v>1166</v>
      </c>
      <c r="C16" s="3"/>
      <c r="D16" s="1185"/>
      <c r="E16" s="349">
        <v>2.1000000000000001E-2</v>
      </c>
      <c r="F16" s="3"/>
      <c r="K16" s="8"/>
    </row>
    <row r="17" spans="1:11" x14ac:dyDescent="0.3">
      <c r="A17" s="1113"/>
      <c r="B17" s="112"/>
      <c r="C17" s="3"/>
      <c r="D17" s="119"/>
      <c r="E17" s="119"/>
      <c r="F17" s="3"/>
      <c r="K17" s="8"/>
    </row>
    <row r="18" spans="1:11" x14ac:dyDescent="0.3">
      <c r="A18" s="1113"/>
      <c r="B18" s="112"/>
      <c r="C18" s="3"/>
      <c r="D18" s="119"/>
      <c r="E18" s="119"/>
      <c r="F18" s="3"/>
      <c r="K18" s="8"/>
    </row>
    <row r="19" spans="1:11" x14ac:dyDescent="0.3">
      <c r="A19" s="1113"/>
      <c r="B19" s="112"/>
      <c r="C19" s="3"/>
      <c r="D19" s="119"/>
      <c r="E19" s="119"/>
      <c r="F19" s="3"/>
      <c r="K19" s="8"/>
    </row>
    <row r="20" spans="1:11" ht="15" thickBot="1" x14ac:dyDescent="0.35">
      <c r="A20" s="1072"/>
      <c r="B20" s="89"/>
      <c r="C20" s="9"/>
      <c r="D20" s="91"/>
      <c r="E20" s="91"/>
      <c r="F20" s="9"/>
      <c r="G20" s="9"/>
      <c r="H20" s="9"/>
      <c r="I20" s="9"/>
      <c r="J20" s="9"/>
      <c r="K20" s="10"/>
    </row>
    <row r="21" spans="1:11" x14ac:dyDescent="0.3">
      <c r="A21"/>
      <c r="C21"/>
      <c r="E21"/>
      <c r="F21"/>
    </row>
    <row r="22" spans="1:11" x14ac:dyDescent="0.3">
      <c r="A22"/>
      <c r="C22"/>
      <c r="E22"/>
      <c r="F22"/>
    </row>
    <row r="23" spans="1:11" x14ac:dyDescent="0.3">
      <c r="A23"/>
      <c r="C23"/>
      <c r="E23"/>
      <c r="F23"/>
    </row>
    <row r="24" spans="1:11" x14ac:dyDescent="0.3">
      <c r="A24"/>
      <c r="C24"/>
      <c r="E24"/>
      <c r="F24"/>
    </row>
    <row r="25" spans="1:11" x14ac:dyDescent="0.3">
      <c r="A25"/>
      <c r="C25"/>
      <c r="E25"/>
      <c r="F25"/>
    </row>
    <row r="26" spans="1:11" x14ac:dyDescent="0.3">
      <c r="A26"/>
      <c r="C26"/>
      <c r="E26"/>
      <c r="F26"/>
    </row>
    <row r="27" spans="1:11" x14ac:dyDescent="0.3">
      <c r="A27"/>
      <c r="C27"/>
      <c r="E27"/>
      <c r="F27"/>
    </row>
    <row r="28" spans="1:11" x14ac:dyDescent="0.3">
      <c r="A28"/>
      <c r="C28"/>
      <c r="E28"/>
      <c r="F28"/>
    </row>
    <row r="29" spans="1:11" x14ac:dyDescent="0.3">
      <c r="A29"/>
      <c r="C29"/>
      <c r="E29"/>
      <c r="F29"/>
    </row>
    <row r="30" spans="1:11" x14ac:dyDescent="0.3">
      <c r="A30"/>
      <c r="C30"/>
      <c r="E30"/>
      <c r="F30"/>
    </row>
    <row r="31" spans="1:11" x14ac:dyDescent="0.3">
      <c r="A31"/>
      <c r="C31"/>
      <c r="E31"/>
      <c r="F31"/>
    </row>
    <row r="32" spans="1:11" x14ac:dyDescent="0.3">
      <c r="A32"/>
      <c r="C32"/>
      <c r="E32"/>
      <c r="F32"/>
    </row>
    <row r="33" customFormat="1" x14ac:dyDescent="0.3"/>
    <row r="34" customFormat="1" ht="15" customHeigh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ht="15" customHeight="1" x14ac:dyDescent="0.3"/>
    <row r="63" customFormat="1" x14ac:dyDescent="0.3"/>
    <row r="64" customFormat="1" x14ac:dyDescent="0.3"/>
    <row r="65" customFormat="1" x14ac:dyDescent="0.3"/>
    <row r="66" customFormat="1" ht="15" customHeight="1" x14ac:dyDescent="0.3"/>
    <row r="67" customFormat="1" x14ac:dyDescent="0.3"/>
    <row r="68" customFormat="1" x14ac:dyDescent="0.3"/>
    <row r="69" customFormat="1" ht="15" customHeigh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ht="15" customHeight="1" x14ac:dyDescent="0.3"/>
    <row r="105" customFormat="1" x14ac:dyDescent="0.3"/>
    <row r="106" customFormat="1" x14ac:dyDescent="0.3"/>
    <row r="107" customFormat="1" ht="15" customHeigh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ht="15" customHeigh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spans="1:6" customFormat="1" x14ac:dyDescent="0.3"/>
    <row r="130" spans="1:6" customFormat="1" x14ac:dyDescent="0.3"/>
    <row r="131" spans="1:6" customFormat="1" x14ac:dyDescent="0.3"/>
    <row r="132" spans="1:6" customFormat="1" x14ac:dyDescent="0.3"/>
    <row r="133" spans="1:6" customFormat="1" x14ac:dyDescent="0.3"/>
    <row r="134" spans="1:6" customFormat="1" x14ac:dyDescent="0.3"/>
    <row r="135" spans="1:6" customFormat="1" ht="15" customHeight="1" x14ac:dyDescent="0.3"/>
    <row r="136" spans="1:6" customFormat="1" x14ac:dyDescent="0.3"/>
    <row r="137" spans="1:6" customFormat="1" x14ac:dyDescent="0.3"/>
    <row r="138" spans="1:6" customFormat="1" x14ac:dyDescent="0.3"/>
    <row r="139" spans="1:6" customFormat="1" x14ac:dyDescent="0.3"/>
    <row r="140" spans="1:6" customFormat="1" x14ac:dyDescent="0.3"/>
    <row r="141" spans="1:6" customFormat="1" x14ac:dyDescent="0.3"/>
    <row r="142" spans="1:6" x14ac:dyDescent="0.3">
      <c r="A142"/>
      <c r="C142" s="3"/>
      <c r="E142" s="1"/>
      <c r="F142"/>
    </row>
    <row r="143" spans="1:6" x14ac:dyDescent="0.3">
      <c r="A143"/>
      <c r="C143" s="3"/>
      <c r="E143" s="1"/>
      <c r="F143"/>
    </row>
    <row r="144" spans="1:6" x14ac:dyDescent="0.3">
      <c r="A144"/>
      <c r="C144" s="3"/>
      <c r="E144" s="1"/>
      <c r="F144"/>
    </row>
    <row r="145" spans="1:6" x14ac:dyDescent="0.3">
      <c r="A145"/>
      <c r="C145" s="3"/>
      <c r="E145" s="1"/>
      <c r="F145"/>
    </row>
    <row r="146" spans="1:6" x14ac:dyDescent="0.3">
      <c r="A146"/>
      <c r="C146" s="3"/>
      <c r="E146" s="1"/>
      <c r="F146"/>
    </row>
    <row r="147" spans="1:6" x14ac:dyDescent="0.3">
      <c r="A147"/>
      <c r="C147" s="3"/>
      <c r="E147" s="1"/>
      <c r="F147"/>
    </row>
    <row r="148" spans="1:6" x14ac:dyDescent="0.3">
      <c r="A148"/>
      <c r="C148" s="3"/>
      <c r="E148" s="1"/>
      <c r="F148"/>
    </row>
    <row r="149" spans="1:6" x14ac:dyDescent="0.3">
      <c r="A149"/>
      <c r="C149" s="3"/>
      <c r="E149" s="1"/>
      <c r="F149"/>
    </row>
    <row r="150" spans="1:6" x14ac:dyDescent="0.3">
      <c r="A150"/>
      <c r="C150" s="3"/>
      <c r="E150" s="1"/>
      <c r="F150"/>
    </row>
    <row r="151" spans="1:6" x14ac:dyDescent="0.3">
      <c r="A151"/>
      <c r="C151" s="3"/>
      <c r="E151" s="1"/>
      <c r="F151"/>
    </row>
    <row r="152" spans="1:6" x14ac:dyDescent="0.3">
      <c r="A152"/>
      <c r="C152" s="3"/>
      <c r="E152" s="1"/>
      <c r="F152"/>
    </row>
    <row r="153" spans="1:6" x14ac:dyDescent="0.3">
      <c r="A153"/>
      <c r="C153" s="3"/>
      <c r="E153" s="1"/>
      <c r="F153"/>
    </row>
    <row r="154" spans="1:6" x14ac:dyDescent="0.3">
      <c r="A154"/>
      <c r="C154" s="3"/>
      <c r="E154" s="1"/>
      <c r="F154"/>
    </row>
    <row r="155" spans="1:6" x14ac:dyDescent="0.3">
      <c r="A155"/>
      <c r="C155" s="3"/>
      <c r="E155" s="1"/>
      <c r="F155"/>
    </row>
    <row r="156" spans="1:6" x14ac:dyDescent="0.3">
      <c r="A156"/>
      <c r="C156" s="3"/>
      <c r="E156" s="1"/>
      <c r="F156"/>
    </row>
    <row r="157" spans="1:6" x14ac:dyDescent="0.3">
      <c r="A157"/>
      <c r="C157" s="3"/>
      <c r="E157" s="1"/>
      <c r="F157"/>
    </row>
    <row r="158" spans="1:6" x14ac:dyDescent="0.3">
      <c r="A158"/>
      <c r="C158" s="3"/>
      <c r="E158" s="1"/>
      <c r="F158"/>
    </row>
    <row r="159" spans="1:6" x14ac:dyDescent="0.3">
      <c r="A159"/>
      <c r="C159" s="3"/>
      <c r="E159" s="1"/>
      <c r="F159"/>
    </row>
    <row r="160" spans="1:6" x14ac:dyDescent="0.3">
      <c r="A160"/>
      <c r="C160" s="3"/>
      <c r="E160" s="1"/>
      <c r="F160"/>
    </row>
    <row r="161" spans="1:6" x14ac:dyDescent="0.3">
      <c r="A161"/>
      <c r="C161" s="3"/>
      <c r="E161" s="1"/>
      <c r="F161"/>
    </row>
    <row r="162" spans="1:6" x14ac:dyDescent="0.3">
      <c r="A162"/>
      <c r="C162" s="3"/>
      <c r="E162" s="1"/>
      <c r="F162"/>
    </row>
    <row r="163" spans="1:6" x14ac:dyDescent="0.3">
      <c r="A163"/>
      <c r="C163" s="3"/>
      <c r="E163" s="1"/>
      <c r="F163"/>
    </row>
    <row r="164" spans="1:6" x14ac:dyDescent="0.3">
      <c r="A164"/>
      <c r="C164" s="3"/>
      <c r="E164" s="1"/>
      <c r="F164"/>
    </row>
    <row r="165" spans="1:6" x14ac:dyDescent="0.3">
      <c r="A165"/>
      <c r="C165" s="3"/>
      <c r="E165" s="1"/>
      <c r="F165"/>
    </row>
    <row r="166" spans="1:6" x14ac:dyDescent="0.3">
      <c r="A166"/>
      <c r="C166" s="3"/>
      <c r="E166" s="1"/>
      <c r="F166"/>
    </row>
    <row r="167" spans="1:6" x14ac:dyDescent="0.3">
      <c r="A167"/>
      <c r="C167" s="3"/>
      <c r="E167" s="1"/>
      <c r="F167"/>
    </row>
    <row r="168" spans="1:6" x14ac:dyDescent="0.3">
      <c r="A168"/>
      <c r="C168" s="3"/>
      <c r="E168" s="1"/>
      <c r="F168"/>
    </row>
    <row r="169" spans="1:6" x14ac:dyDescent="0.3">
      <c r="A169"/>
      <c r="C169" s="3"/>
      <c r="E169" s="1"/>
      <c r="F169"/>
    </row>
    <row r="170" spans="1:6" x14ac:dyDescent="0.3">
      <c r="A170"/>
      <c r="C170" s="3"/>
      <c r="E170" s="1"/>
      <c r="F170"/>
    </row>
    <row r="171" spans="1:6" x14ac:dyDescent="0.3">
      <c r="A171"/>
      <c r="C171" s="3"/>
      <c r="E171" s="1"/>
      <c r="F171"/>
    </row>
    <row r="172" spans="1:6" x14ac:dyDescent="0.3">
      <c r="A172"/>
      <c r="C172" s="3"/>
      <c r="E172" s="1"/>
      <c r="F172"/>
    </row>
    <row r="173" spans="1:6" x14ac:dyDescent="0.3">
      <c r="A173"/>
      <c r="C173" s="3"/>
      <c r="E173" s="1"/>
      <c r="F173"/>
    </row>
    <row r="174" spans="1:6" x14ac:dyDescent="0.3">
      <c r="A174"/>
      <c r="C174" s="3"/>
      <c r="E174" s="1"/>
      <c r="F174"/>
    </row>
    <row r="175" spans="1:6" x14ac:dyDescent="0.3">
      <c r="A175"/>
      <c r="C175" s="3"/>
      <c r="E175" s="1"/>
      <c r="F175"/>
    </row>
    <row r="176" spans="1:6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ht="15" customHeight="1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ht="15" customHeight="1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</sheetData>
  <mergeCells count="11">
    <mergeCell ref="H4:H10"/>
    <mergeCell ref="I4:I10"/>
    <mergeCell ref="J4:J10"/>
    <mergeCell ref="K4:K10"/>
    <mergeCell ref="A12:A20"/>
    <mergeCell ref="D15:D16"/>
    <mergeCell ref="A4:A10"/>
    <mergeCell ref="B4:B10"/>
    <mergeCell ref="C4:C10"/>
    <mergeCell ref="F4:F10"/>
    <mergeCell ref="G4:G10"/>
  </mergeCell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O26"/>
  <sheetViews>
    <sheetView zoomScale="85" zoomScaleNormal="85" workbookViewId="0">
      <selection activeCell="D48" sqref="D48"/>
    </sheetView>
  </sheetViews>
  <sheetFormatPr baseColWidth="10" defaultColWidth="11.5546875" defaultRowHeight="14.4" x14ac:dyDescent="0.3"/>
  <cols>
    <col min="1" max="1" width="18" bestFit="1" customWidth="1"/>
    <col min="2" max="2" width="17.109375" bestFit="1" customWidth="1"/>
    <col min="3" max="4" width="31.33203125" bestFit="1" customWidth="1"/>
    <col min="5" max="5" width="17.88671875" bestFit="1" customWidth="1"/>
    <col min="6" max="6" width="14.44140625" bestFit="1" customWidth="1"/>
    <col min="7" max="7" width="13.6640625" bestFit="1" customWidth="1"/>
    <col min="8" max="8" width="11.33203125" bestFit="1" customWidth="1"/>
  </cols>
  <sheetData>
    <row r="1" spans="1:15" ht="20.100000000000001" customHeight="1" thickBot="1" x14ac:dyDescent="0.35">
      <c r="A1" s="989" t="s">
        <v>0</v>
      </c>
      <c r="B1" s="990"/>
      <c r="C1" s="990"/>
      <c r="D1" s="991"/>
    </row>
    <row r="2" spans="1:15" ht="20.100000000000001" customHeight="1" thickBot="1" x14ac:dyDescent="0.35">
      <c r="A2" s="992" t="s">
        <v>1</v>
      </c>
      <c r="B2" s="993"/>
      <c r="C2" s="993"/>
      <c r="D2" s="994"/>
    </row>
    <row r="3" spans="1:15" ht="20.100000000000001" customHeight="1" thickBot="1" x14ac:dyDescent="0.35">
      <c r="A3" s="989" t="s">
        <v>2</v>
      </c>
      <c r="B3" s="990"/>
      <c r="C3" s="990"/>
      <c r="D3" s="991"/>
    </row>
    <row r="5" spans="1:15" ht="15" thickBot="1" x14ac:dyDescent="0.35"/>
    <row r="6" spans="1:15" ht="18.75" customHeight="1" x14ac:dyDescent="0.3">
      <c r="A6" s="995"/>
      <c r="B6" s="996"/>
      <c r="C6" s="996"/>
      <c r="D6" s="997"/>
      <c r="E6" s="995"/>
      <c r="F6" s="996"/>
      <c r="G6" s="996"/>
      <c r="H6" s="996"/>
      <c r="I6" s="997"/>
      <c r="K6" s="995"/>
      <c r="L6" s="996"/>
      <c r="M6" s="996"/>
      <c r="N6" s="996"/>
      <c r="O6" s="997"/>
    </row>
    <row r="7" spans="1:15" ht="15" customHeight="1" x14ac:dyDescent="0.3">
      <c r="A7" s="998"/>
      <c r="B7" s="999"/>
      <c r="C7" s="999"/>
      <c r="D7" s="1000"/>
      <c r="E7" s="998"/>
      <c r="F7" s="999"/>
      <c r="G7" s="999"/>
      <c r="H7" s="999"/>
      <c r="I7" s="1000"/>
      <c r="K7" s="998"/>
      <c r="L7" s="999"/>
      <c r="M7" s="999"/>
      <c r="N7" s="999"/>
      <c r="O7" s="1000"/>
    </row>
    <row r="8" spans="1:15" ht="15" customHeight="1" x14ac:dyDescent="0.3">
      <c r="A8" s="998"/>
      <c r="B8" s="999"/>
      <c r="C8" s="999"/>
      <c r="D8" s="1000"/>
      <c r="E8" s="998"/>
      <c r="F8" s="999"/>
      <c r="G8" s="999"/>
      <c r="H8" s="999"/>
      <c r="I8" s="1000"/>
      <c r="K8" s="998"/>
      <c r="L8" s="999"/>
      <c r="M8" s="999"/>
      <c r="N8" s="999"/>
      <c r="O8" s="1000"/>
    </row>
    <row r="9" spans="1:15" ht="15" customHeight="1" x14ac:dyDescent="0.3">
      <c r="A9" s="998"/>
      <c r="B9" s="999"/>
      <c r="C9" s="999"/>
      <c r="D9" s="1000"/>
      <c r="E9" s="998"/>
      <c r="F9" s="999"/>
      <c r="G9" s="999"/>
      <c r="H9" s="999"/>
      <c r="I9" s="1000"/>
      <c r="K9" s="998"/>
      <c r="L9" s="999"/>
      <c r="M9" s="999"/>
      <c r="N9" s="999"/>
      <c r="O9" s="1000"/>
    </row>
    <row r="10" spans="1:15" x14ac:dyDescent="0.3">
      <c r="A10" s="998"/>
      <c r="B10" s="999"/>
      <c r="C10" s="999"/>
      <c r="D10" s="1000"/>
      <c r="E10" s="998"/>
      <c r="F10" s="999"/>
      <c r="G10" s="999"/>
      <c r="H10" s="999"/>
      <c r="I10" s="1000"/>
      <c r="K10" s="998"/>
      <c r="L10" s="999"/>
      <c r="M10" s="999"/>
      <c r="N10" s="999"/>
      <c r="O10" s="1000"/>
    </row>
    <row r="11" spans="1:15" x14ac:dyDescent="0.3">
      <c r="A11" s="998"/>
      <c r="B11" s="999"/>
      <c r="C11" s="999"/>
      <c r="D11" s="1000"/>
      <c r="E11" s="998"/>
      <c r="F11" s="999"/>
      <c r="G11" s="999"/>
      <c r="H11" s="999"/>
      <c r="I11" s="1000"/>
      <c r="K11" s="998"/>
      <c r="L11" s="999"/>
      <c r="M11" s="999"/>
      <c r="N11" s="999"/>
      <c r="O11" s="1000"/>
    </row>
    <row r="12" spans="1:15" x14ac:dyDescent="0.3">
      <c r="A12" s="998"/>
      <c r="B12" s="999"/>
      <c r="C12" s="999"/>
      <c r="D12" s="1000"/>
      <c r="E12" s="998"/>
      <c r="F12" s="999"/>
      <c r="G12" s="999"/>
      <c r="H12" s="999"/>
      <c r="I12" s="1000"/>
      <c r="K12" s="998"/>
      <c r="L12" s="999"/>
      <c r="M12" s="999"/>
      <c r="N12" s="999"/>
      <c r="O12" s="1000"/>
    </row>
    <row r="13" spans="1:15" x14ac:dyDescent="0.3">
      <c r="A13" s="998"/>
      <c r="B13" s="999"/>
      <c r="C13" s="999"/>
      <c r="D13" s="1000"/>
      <c r="E13" s="998"/>
      <c r="F13" s="999"/>
      <c r="G13" s="999"/>
      <c r="H13" s="999"/>
      <c r="I13" s="1000"/>
      <c r="K13" s="998"/>
      <c r="L13" s="999"/>
      <c r="M13" s="999"/>
      <c r="N13" s="999"/>
      <c r="O13" s="1000"/>
    </row>
    <row r="14" spans="1:15" x14ac:dyDescent="0.3">
      <c r="A14" s="998"/>
      <c r="B14" s="999"/>
      <c r="C14" s="999"/>
      <c r="D14" s="1000"/>
      <c r="E14" s="998"/>
      <c r="F14" s="999"/>
      <c r="G14" s="999"/>
      <c r="H14" s="999"/>
      <c r="I14" s="1000"/>
      <c r="K14" s="998"/>
      <c r="L14" s="999"/>
      <c r="M14" s="999"/>
      <c r="N14" s="999"/>
      <c r="O14" s="1000"/>
    </row>
    <row r="15" spans="1:15" x14ac:dyDescent="0.3">
      <c r="A15" s="998"/>
      <c r="B15" s="999"/>
      <c r="C15" s="999"/>
      <c r="D15" s="1000"/>
      <c r="E15" s="998"/>
      <c r="F15" s="999"/>
      <c r="G15" s="999"/>
      <c r="H15" s="999"/>
      <c r="I15" s="1000"/>
      <c r="K15" s="998"/>
      <c r="L15" s="999"/>
      <c r="M15" s="999"/>
      <c r="N15" s="999"/>
      <c r="O15" s="1000"/>
    </row>
    <row r="16" spans="1:15" x14ac:dyDescent="0.3">
      <c r="A16" s="998"/>
      <c r="B16" s="999"/>
      <c r="C16" s="999"/>
      <c r="D16" s="1000"/>
      <c r="E16" s="998"/>
      <c r="F16" s="999"/>
      <c r="G16" s="999"/>
      <c r="H16" s="999"/>
      <c r="I16" s="1000"/>
      <c r="K16" s="998"/>
      <c r="L16" s="999"/>
      <c r="M16" s="999"/>
      <c r="N16" s="999"/>
      <c r="O16" s="1000"/>
    </row>
    <row r="17" spans="1:15" x14ac:dyDescent="0.3">
      <c r="A17" s="998"/>
      <c r="B17" s="999"/>
      <c r="C17" s="999"/>
      <c r="D17" s="1000"/>
      <c r="E17" s="998"/>
      <c r="F17" s="999"/>
      <c r="G17" s="999"/>
      <c r="H17" s="999"/>
      <c r="I17" s="1000"/>
      <c r="K17" s="998"/>
      <c r="L17" s="999"/>
      <c r="M17" s="999"/>
      <c r="N17" s="999"/>
      <c r="O17" s="1000"/>
    </row>
    <row r="18" spans="1:15" x14ac:dyDescent="0.3">
      <c r="A18" s="998"/>
      <c r="B18" s="999"/>
      <c r="C18" s="999"/>
      <c r="D18" s="1000"/>
      <c r="E18" s="998"/>
      <c r="F18" s="999"/>
      <c r="G18" s="999"/>
      <c r="H18" s="999"/>
      <c r="I18" s="1000"/>
      <c r="K18" s="998"/>
      <c r="L18" s="999"/>
      <c r="M18" s="999"/>
      <c r="N18" s="999"/>
      <c r="O18" s="1000"/>
    </row>
    <row r="19" spans="1:15" x14ac:dyDescent="0.3">
      <c r="A19" s="998"/>
      <c r="B19" s="999"/>
      <c r="C19" s="999"/>
      <c r="D19" s="1000"/>
      <c r="E19" s="998"/>
      <c r="F19" s="999"/>
      <c r="G19" s="999"/>
      <c r="H19" s="999"/>
      <c r="I19" s="1000"/>
      <c r="K19" s="998"/>
      <c r="L19" s="999"/>
      <c r="M19" s="999"/>
      <c r="N19" s="999"/>
      <c r="O19" s="1000"/>
    </row>
    <row r="20" spans="1:15" x14ac:dyDescent="0.3">
      <c r="A20" s="998"/>
      <c r="B20" s="999"/>
      <c r="C20" s="999"/>
      <c r="D20" s="1000"/>
      <c r="E20" s="998"/>
      <c r="F20" s="999"/>
      <c r="G20" s="999"/>
      <c r="H20" s="999"/>
      <c r="I20" s="1000"/>
      <c r="K20" s="998"/>
      <c r="L20" s="999"/>
      <c r="M20" s="999"/>
      <c r="N20" s="999"/>
      <c r="O20" s="1000"/>
    </row>
    <row r="21" spans="1:15" x14ac:dyDescent="0.3">
      <c r="A21" s="998"/>
      <c r="B21" s="999"/>
      <c r="C21" s="999"/>
      <c r="D21" s="1000"/>
      <c r="E21" s="998"/>
      <c r="F21" s="999"/>
      <c r="G21" s="999"/>
      <c r="H21" s="999"/>
      <c r="I21" s="1000"/>
      <c r="K21" s="998"/>
      <c r="L21" s="999"/>
      <c r="M21" s="999"/>
      <c r="N21" s="999"/>
      <c r="O21" s="1000"/>
    </row>
    <row r="22" spans="1:15" x14ac:dyDescent="0.3">
      <c r="A22" s="998"/>
      <c r="B22" s="999"/>
      <c r="C22" s="999"/>
      <c r="D22" s="1000"/>
      <c r="E22" s="998"/>
      <c r="F22" s="999"/>
      <c r="G22" s="999"/>
      <c r="H22" s="999"/>
      <c r="I22" s="1000"/>
      <c r="K22" s="998"/>
      <c r="L22" s="999"/>
      <c r="M22" s="999"/>
      <c r="N22" s="999"/>
      <c r="O22" s="1000"/>
    </row>
    <row r="23" spans="1:15" x14ac:dyDescent="0.3">
      <c r="A23" s="998"/>
      <c r="B23" s="999"/>
      <c r="C23" s="999"/>
      <c r="D23" s="1000"/>
      <c r="E23" s="998"/>
      <c r="F23" s="999"/>
      <c r="G23" s="999"/>
      <c r="H23" s="999"/>
      <c r="I23" s="1000"/>
      <c r="K23" s="998"/>
      <c r="L23" s="999"/>
      <c r="M23" s="999"/>
      <c r="N23" s="999"/>
      <c r="O23" s="1000"/>
    </row>
    <row r="24" spans="1:15" ht="15" thickBot="1" x14ac:dyDescent="0.35">
      <c r="A24" s="1001"/>
      <c r="B24" s="1002"/>
      <c r="C24" s="1002"/>
      <c r="D24" s="1003"/>
      <c r="E24" s="1001"/>
      <c r="F24" s="1002"/>
      <c r="G24" s="1002"/>
      <c r="H24" s="1002"/>
      <c r="I24" s="1003"/>
      <c r="K24" s="1001"/>
      <c r="L24" s="1002"/>
      <c r="M24" s="1002"/>
      <c r="N24" s="1002"/>
      <c r="O24" s="1003"/>
    </row>
    <row r="25" spans="1:15" x14ac:dyDescent="0.3">
      <c r="A25" s="1"/>
      <c r="B25" s="1"/>
      <c r="C25" s="1"/>
      <c r="D25" s="1"/>
    </row>
    <row r="26" spans="1:15" x14ac:dyDescent="0.3">
      <c r="A26" s="1"/>
      <c r="B26" s="1"/>
      <c r="C26" s="1"/>
      <c r="D26" s="1"/>
    </row>
  </sheetData>
  <mergeCells count="6">
    <mergeCell ref="K6:O24"/>
    <mergeCell ref="A1:D1"/>
    <mergeCell ref="A2:D2"/>
    <mergeCell ref="A3:D3"/>
    <mergeCell ref="A6:D24"/>
    <mergeCell ref="E6:I24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K74"/>
  <sheetViews>
    <sheetView zoomScale="70" zoomScaleNormal="70" workbookViewId="0">
      <selection activeCell="A17" sqref="A17:A19"/>
    </sheetView>
  </sheetViews>
  <sheetFormatPr baseColWidth="10" defaultColWidth="11.44140625" defaultRowHeight="14.4" x14ac:dyDescent="0.3"/>
  <cols>
    <col min="1" max="1" width="24" style="36" bestFit="1" customWidth="1"/>
    <col min="2" max="2" width="11.6640625" style="142" bestFit="1" customWidth="1"/>
    <col min="3" max="3" width="50.6640625" style="142" customWidth="1"/>
    <col min="4" max="4" width="20.6640625" style="142" hidden="1" customWidth="1"/>
    <col min="5" max="5" width="13.5546875" style="142" hidden="1" customWidth="1"/>
    <col min="6" max="6" width="13.5546875" style="142" customWidth="1"/>
    <col min="7" max="7" width="21.109375" style="142" bestFit="1" customWidth="1"/>
  </cols>
  <sheetData>
    <row r="1" spans="1:11" ht="15" thickBot="1" x14ac:dyDescent="0.35">
      <c r="A1" s="142" t="s">
        <v>200</v>
      </c>
      <c r="B1" s="142" t="s">
        <v>201</v>
      </c>
      <c r="C1" s="142" t="s">
        <v>202</v>
      </c>
      <c r="D1" s="142" t="s">
        <v>203</v>
      </c>
      <c r="E1" s="142" t="s">
        <v>204</v>
      </c>
      <c r="F1" s="142" t="s">
        <v>204</v>
      </c>
      <c r="G1" s="142" t="s">
        <v>205</v>
      </c>
    </row>
    <row r="2" spans="1:11" ht="15" thickBot="1" x14ac:dyDescent="0.35">
      <c r="A2" s="833" t="s">
        <v>206</v>
      </c>
      <c r="B2" s="834">
        <v>160</v>
      </c>
      <c r="C2" s="835"/>
      <c r="D2" s="834"/>
      <c r="E2" s="836"/>
      <c r="F2" s="836"/>
      <c r="G2" s="835"/>
      <c r="H2" s="837" t="s">
        <v>129</v>
      </c>
    </row>
    <row r="3" spans="1:11" ht="15" thickBot="1" x14ac:dyDescent="0.35">
      <c r="A3" s="7"/>
      <c r="B3" s="640"/>
      <c r="C3" s="112"/>
      <c r="D3" s="640"/>
      <c r="G3" s="112"/>
    </row>
    <row r="4" spans="1:11" ht="15" thickBot="1" x14ac:dyDescent="0.35">
      <c r="A4" s="838" t="s">
        <v>207</v>
      </c>
      <c r="B4" s="735">
        <v>100</v>
      </c>
      <c r="C4" s="839"/>
      <c r="D4" s="735">
        <v>1</v>
      </c>
      <c r="E4" s="840">
        <v>0.45</v>
      </c>
      <c r="F4" s="840">
        <f>SUM(E4/2)</f>
        <v>0.22500000000000001</v>
      </c>
      <c r="G4" s="720" t="s">
        <v>184</v>
      </c>
    </row>
    <row r="5" spans="1:11" ht="15" thickBot="1" x14ac:dyDescent="0.35">
      <c r="A5" s="142"/>
      <c r="H5" s="142"/>
    </row>
    <row r="6" spans="1:11" ht="15" thickBot="1" x14ac:dyDescent="0.35">
      <c r="A6" s="838" t="s">
        <v>208</v>
      </c>
      <c r="B6" s="735">
        <v>38</v>
      </c>
      <c r="C6" s="839"/>
      <c r="D6" s="735">
        <v>0.5</v>
      </c>
      <c r="E6" s="840">
        <v>0.23</v>
      </c>
      <c r="F6" s="840">
        <f t="shared" ref="F6:F54" si="0">SUM(E6/2)</f>
        <v>0.115</v>
      </c>
      <c r="G6" s="720" t="s">
        <v>184</v>
      </c>
    </row>
    <row r="7" spans="1:11" ht="15" thickBot="1" x14ac:dyDescent="0.35">
      <c r="A7" s="142"/>
      <c r="H7" s="142"/>
      <c r="I7" s="142"/>
      <c r="J7" s="142"/>
    </row>
    <row r="8" spans="1:11" ht="15" thickBot="1" x14ac:dyDescent="0.35">
      <c r="A8" s="841" t="s">
        <v>209</v>
      </c>
      <c r="B8" s="735">
        <v>100</v>
      </c>
      <c r="C8" s="839"/>
      <c r="D8" s="735">
        <v>1</v>
      </c>
      <c r="E8" s="840">
        <v>0.45</v>
      </c>
      <c r="F8" s="840">
        <f t="shared" si="0"/>
        <v>0.22500000000000001</v>
      </c>
      <c r="G8" s="720" t="s">
        <v>184</v>
      </c>
    </row>
    <row r="9" spans="1:11" ht="15" thickBot="1" x14ac:dyDescent="0.35">
      <c r="A9" s="142"/>
      <c r="H9" s="142"/>
      <c r="I9" s="142"/>
      <c r="J9" s="142"/>
      <c r="K9" s="142"/>
    </row>
    <row r="10" spans="1:11" ht="15" thickBot="1" x14ac:dyDescent="0.35">
      <c r="A10" s="1075" t="s">
        <v>210</v>
      </c>
      <c r="B10" s="842">
        <v>140</v>
      </c>
      <c r="C10" s="843"/>
      <c r="D10" s="842">
        <v>0.42</v>
      </c>
      <c r="E10" s="844">
        <v>0.19</v>
      </c>
      <c r="F10" s="845">
        <f t="shared" si="0"/>
        <v>9.5000000000000001E-2</v>
      </c>
      <c r="G10" s="1007" t="s">
        <v>184</v>
      </c>
    </row>
    <row r="11" spans="1:11" ht="15" thickBot="1" x14ac:dyDescent="0.35">
      <c r="A11" s="1076"/>
      <c r="B11" s="846">
        <v>160</v>
      </c>
      <c r="C11" s="847"/>
      <c r="D11" s="846">
        <v>0.39</v>
      </c>
      <c r="E11" s="848">
        <v>0.17499999999999999</v>
      </c>
      <c r="F11" s="845">
        <f t="shared" si="0"/>
        <v>8.7499999999999994E-2</v>
      </c>
      <c r="G11" s="1009"/>
    </row>
    <row r="12" spans="1:11" ht="15" thickBot="1" x14ac:dyDescent="0.35">
      <c r="A12" s="142"/>
      <c r="H12" s="142"/>
      <c r="I12" s="142"/>
      <c r="J12" s="142"/>
    </row>
    <row r="13" spans="1:11" ht="15" thickBot="1" x14ac:dyDescent="0.35">
      <c r="A13" s="841" t="s">
        <v>211</v>
      </c>
      <c r="B13" s="735">
        <v>80</v>
      </c>
      <c r="C13" s="839"/>
      <c r="D13" s="735">
        <v>0.44</v>
      </c>
      <c r="E13" s="840">
        <v>0.19900000000000001</v>
      </c>
      <c r="F13" s="840">
        <f t="shared" si="0"/>
        <v>9.9500000000000005E-2</v>
      </c>
      <c r="G13" s="720" t="s">
        <v>184</v>
      </c>
    </row>
    <row r="14" spans="1:11" ht="15" thickBot="1" x14ac:dyDescent="0.35">
      <c r="A14" s="142"/>
      <c r="H14" s="142"/>
      <c r="I14" s="142"/>
      <c r="J14" s="142"/>
    </row>
    <row r="15" spans="1:11" ht="15" thickBot="1" x14ac:dyDescent="0.35">
      <c r="A15" s="841" t="s">
        <v>212</v>
      </c>
      <c r="B15" s="735">
        <v>38</v>
      </c>
      <c r="C15" s="839"/>
      <c r="D15" s="735">
        <v>0.27</v>
      </c>
      <c r="E15" s="840">
        <v>0.122</v>
      </c>
      <c r="F15" s="840">
        <f t="shared" si="0"/>
        <v>6.0999999999999999E-2</v>
      </c>
      <c r="G15" s="720" t="s">
        <v>184</v>
      </c>
    </row>
    <row r="16" spans="1:11" ht="15" thickBot="1" x14ac:dyDescent="0.35">
      <c r="A16" s="142"/>
      <c r="H16" s="142"/>
      <c r="I16" s="142"/>
    </row>
    <row r="17" spans="1:9" ht="15" thickBot="1" x14ac:dyDescent="0.35">
      <c r="A17" s="1075" t="s">
        <v>213</v>
      </c>
      <c r="B17" s="842">
        <v>34</v>
      </c>
      <c r="C17" s="849"/>
      <c r="D17" s="842">
        <v>0.11</v>
      </c>
      <c r="E17" s="850">
        <v>0.05</v>
      </c>
      <c r="F17" s="845">
        <f t="shared" si="0"/>
        <v>2.5000000000000001E-2</v>
      </c>
      <c r="G17" s="1007" t="s">
        <v>184</v>
      </c>
    </row>
    <row r="18" spans="1:9" ht="15" thickBot="1" x14ac:dyDescent="0.35">
      <c r="A18" s="1077"/>
      <c r="B18" s="851">
        <v>94</v>
      </c>
      <c r="C18" s="36"/>
      <c r="D18" s="851">
        <v>0.53</v>
      </c>
      <c r="E18" s="852">
        <v>0.24</v>
      </c>
      <c r="F18" s="845">
        <f t="shared" si="0"/>
        <v>0.12</v>
      </c>
      <c r="G18" s="1008"/>
    </row>
    <row r="19" spans="1:9" ht="15" thickBot="1" x14ac:dyDescent="0.35">
      <c r="A19" s="1076"/>
      <c r="B19" s="846">
        <v>94</v>
      </c>
      <c r="C19" s="853"/>
      <c r="D19" s="846">
        <v>0.53</v>
      </c>
      <c r="E19" s="854">
        <v>0.24</v>
      </c>
      <c r="F19" s="845">
        <f t="shared" si="0"/>
        <v>0.12</v>
      </c>
      <c r="G19" s="1009"/>
    </row>
    <row r="20" spans="1:9" ht="15" thickBot="1" x14ac:dyDescent="0.35">
      <c r="A20" s="142"/>
      <c r="H20" s="142"/>
      <c r="I20" s="142"/>
    </row>
    <row r="21" spans="1:9" x14ac:dyDescent="0.3">
      <c r="A21" s="1078" t="s">
        <v>214</v>
      </c>
      <c r="B21" s="855">
        <v>66</v>
      </c>
      <c r="C21" s="1081" t="s">
        <v>215</v>
      </c>
      <c r="D21" s="1081">
        <f>1.2*((0.11+(B21+B23)*0.0022)+B22*(0.0019))</f>
        <v>0.71039999999999992</v>
      </c>
      <c r="E21" s="1084">
        <v>0.32200000000000001</v>
      </c>
      <c r="F21" s="1084">
        <f>SUM(E21)</f>
        <v>0.32200000000000001</v>
      </c>
      <c r="G21" s="1007" t="s">
        <v>184</v>
      </c>
    </row>
    <row r="22" spans="1:9" x14ac:dyDescent="0.3">
      <c r="A22" s="1079"/>
      <c r="B22" s="856">
        <v>80</v>
      </c>
      <c r="C22" s="1082"/>
      <c r="D22" s="1082"/>
      <c r="E22" s="1085"/>
      <c r="F22" s="1085"/>
      <c r="G22" s="1008"/>
    </row>
    <row r="23" spans="1:9" ht="15" thickBot="1" x14ac:dyDescent="0.35">
      <c r="A23" s="1080"/>
      <c r="B23" s="857">
        <v>84</v>
      </c>
      <c r="C23" s="1083"/>
      <c r="D23" s="1083"/>
      <c r="E23" s="1086"/>
      <c r="F23" s="1086"/>
      <c r="G23" s="1009"/>
    </row>
    <row r="24" spans="1:9" ht="15" thickBot="1" x14ac:dyDescent="0.35">
      <c r="A24" s="142"/>
      <c r="H24" s="142"/>
      <c r="I24" s="142"/>
    </row>
    <row r="25" spans="1:9" x14ac:dyDescent="0.3">
      <c r="A25" s="1075" t="s">
        <v>216</v>
      </c>
      <c r="B25" s="842">
        <v>90</v>
      </c>
      <c r="C25" s="1081" t="s">
        <v>215</v>
      </c>
      <c r="D25" s="1081">
        <f>1.2*((0.11+(B25+B27)*0.0022)+B26*(0.0019))</f>
        <v>0.76080000000000003</v>
      </c>
      <c r="E25" s="1084">
        <v>0.34499999999999997</v>
      </c>
      <c r="F25" s="1084">
        <f>SUM(E25)</f>
        <v>0.34499999999999997</v>
      </c>
      <c r="G25" s="1007" t="s">
        <v>184</v>
      </c>
    </row>
    <row r="26" spans="1:9" x14ac:dyDescent="0.3">
      <c r="A26" s="1077"/>
      <c r="B26" s="851">
        <v>72</v>
      </c>
      <c r="C26" s="1082"/>
      <c r="D26" s="1082"/>
      <c r="E26" s="1085"/>
      <c r="F26" s="1085"/>
      <c r="G26" s="1008"/>
    </row>
    <row r="27" spans="1:9" ht="15" thickBot="1" x14ac:dyDescent="0.35">
      <c r="A27" s="1076"/>
      <c r="B27" s="846">
        <v>86</v>
      </c>
      <c r="C27" s="1083"/>
      <c r="D27" s="1083"/>
      <c r="E27" s="1086"/>
      <c r="F27" s="1086"/>
      <c r="G27" s="1009"/>
    </row>
    <row r="28" spans="1:9" ht="15" thickBot="1" x14ac:dyDescent="0.35">
      <c r="A28" s="142"/>
      <c r="H28" s="142"/>
      <c r="I28" s="142"/>
    </row>
    <row r="29" spans="1:9" ht="15" thickBot="1" x14ac:dyDescent="0.35">
      <c r="A29" s="838" t="s">
        <v>217</v>
      </c>
      <c r="B29" s="735">
        <v>40</v>
      </c>
      <c r="C29" s="736" t="s">
        <v>218</v>
      </c>
      <c r="D29" s="735">
        <f>1.2*(0.16+B29*(0.0083))</f>
        <v>0.59039999999999992</v>
      </c>
      <c r="E29" s="840">
        <v>0.26700000000000002</v>
      </c>
      <c r="F29" s="840">
        <f t="shared" si="0"/>
        <v>0.13350000000000001</v>
      </c>
      <c r="G29" s="720" t="s">
        <v>184</v>
      </c>
    </row>
    <row r="30" spans="1:9" ht="15" thickBot="1" x14ac:dyDescent="0.35">
      <c r="A30" s="142"/>
      <c r="H30" s="142"/>
    </row>
    <row r="31" spans="1:9" ht="15" thickBot="1" x14ac:dyDescent="0.35">
      <c r="A31" s="838" t="s">
        <v>219</v>
      </c>
      <c r="B31" s="735">
        <v>94</v>
      </c>
      <c r="C31" s="736" t="s">
        <v>220</v>
      </c>
      <c r="D31" s="735">
        <f>1.2*((0.036+B31*(0.0008)))</f>
        <v>0.13343999999999998</v>
      </c>
      <c r="E31" s="840">
        <v>0.06</v>
      </c>
      <c r="F31" s="840">
        <f t="shared" si="0"/>
        <v>0.03</v>
      </c>
      <c r="G31" s="720" t="s">
        <v>184</v>
      </c>
    </row>
    <row r="32" spans="1:9" ht="15" thickBot="1" x14ac:dyDescent="0.35">
      <c r="A32" s="142"/>
      <c r="H32" s="142"/>
      <c r="I32" s="142"/>
    </row>
    <row r="33" spans="1:11" ht="15" thickBot="1" x14ac:dyDescent="0.35">
      <c r="A33" s="841" t="s">
        <v>221</v>
      </c>
      <c r="B33" s="735">
        <v>56</v>
      </c>
      <c r="C33" s="736" t="s">
        <v>220</v>
      </c>
      <c r="D33" s="735">
        <f>1.2*((0.036+B33*(0.0008)))</f>
        <v>9.6959999999999991E-2</v>
      </c>
      <c r="E33" s="840">
        <v>0.04</v>
      </c>
      <c r="F33" s="840">
        <f t="shared" si="0"/>
        <v>0.02</v>
      </c>
      <c r="G33" s="720" t="s">
        <v>184</v>
      </c>
    </row>
    <row r="34" spans="1:11" ht="15" thickBot="1" x14ac:dyDescent="0.35">
      <c r="A34" s="142"/>
      <c r="H34" s="142"/>
      <c r="I34" s="142"/>
      <c r="J34" s="142"/>
      <c r="K34" s="142"/>
    </row>
    <row r="35" spans="1:11" ht="15" thickBot="1" x14ac:dyDescent="0.35">
      <c r="A35" s="838" t="s">
        <v>222</v>
      </c>
      <c r="B35" s="735">
        <v>56</v>
      </c>
      <c r="C35" s="736" t="s">
        <v>220</v>
      </c>
      <c r="D35" s="735">
        <f>1.2*((0.036+B35*(0.0008)))</f>
        <v>9.6959999999999991E-2</v>
      </c>
      <c r="E35" s="840">
        <v>0.04</v>
      </c>
      <c r="F35" s="840">
        <f t="shared" si="0"/>
        <v>0.02</v>
      </c>
      <c r="G35" s="720" t="s">
        <v>184</v>
      </c>
    </row>
    <row r="36" spans="1:11" ht="15" thickBot="1" x14ac:dyDescent="0.35"/>
    <row r="37" spans="1:11" ht="15" thickBot="1" x14ac:dyDescent="0.35">
      <c r="A37" s="1075" t="s">
        <v>223</v>
      </c>
      <c r="B37" s="842">
        <v>44</v>
      </c>
      <c r="C37" s="1087"/>
      <c r="D37" s="858">
        <v>0.2</v>
      </c>
      <c r="E37" s="859">
        <v>0.09</v>
      </c>
      <c r="F37" s="845">
        <f t="shared" si="0"/>
        <v>4.4999999999999998E-2</v>
      </c>
      <c r="G37" s="1028" t="s">
        <v>184</v>
      </c>
    </row>
    <row r="38" spans="1:11" ht="15" thickBot="1" x14ac:dyDescent="0.35">
      <c r="A38" s="1076"/>
      <c r="B38" s="846">
        <v>90</v>
      </c>
      <c r="C38" s="1088"/>
      <c r="D38" s="860">
        <v>0.23</v>
      </c>
      <c r="E38" s="861">
        <v>0.104</v>
      </c>
      <c r="F38" s="845">
        <f t="shared" si="0"/>
        <v>5.1999999999999998E-2</v>
      </c>
      <c r="G38" s="1030"/>
    </row>
    <row r="39" spans="1:11" ht="15" thickBot="1" x14ac:dyDescent="0.35"/>
    <row r="40" spans="1:11" ht="15" thickBot="1" x14ac:dyDescent="0.35">
      <c r="A40" s="1075" t="s">
        <v>224</v>
      </c>
      <c r="B40" s="842">
        <v>86</v>
      </c>
      <c r="C40" s="1089" t="s">
        <v>218</v>
      </c>
      <c r="D40" s="842">
        <f>1.2*(0.16+B40*(0.0083))</f>
        <v>1.0485599999999999</v>
      </c>
      <c r="E40" s="862"/>
      <c r="F40" s="845">
        <f t="shared" si="0"/>
        <v>0</v>
      </c>
      <c r="G40" s="1028" t="s">
        <v>184</v>
      </c>
    </row>
    <row r="41" spans="1:11" ht="15" thickBot="1" x14ac:dyDescent="0.35">
      <c r="A41" s="1076"/>
      <c r="B41" s="846">
        <v>40</v>
      </c>
      <c r="C41" s="1090"/>
      <c r="D41" s="846">
        <f>1.2*(0.16+B41*(0.0083))</f>
        <v>0.59039999999999992</v>
      </c>
      <c r="E41" s="863"/>
      <c r="F41" s="845">
        <f t="shared" si="0"/>
        <v>0</v>
      </c>
      <c r="G41" s="1030"/>
    </row>
    <row r="42" spans="1:11" x14ac:dyDescent="0.3">
      <c r="E42" s="36">
        <f>SUM(E2:E41)</f>
        <v>3.6139999999999999</v>
      </c>
      <c r="F42" s="36"/>
    </row>
    <row r="43" spans="1:11" ht="15" thickBot="1" x14ac:dyDescent="0.35">
      <c r="B43" s="142" t="s">
        <v>225</v>
      </c>
    </row>
    <row r="44" spans="1:11" ht="15" thickBot="1" x14ac:dyDescent="0.35">
      <c r="A44" s="736" t="s">
        <v>226</v>
      </c>
      <c r="B44" s="735">
        <v>78.739999999999995</v>
      </c>
      <c r="C44" s="864" t="s">
        <v>218</v>
      </c>
      <c r="D44" s="735">
        <f>1.2*(0.16+B44*(0.0083))</f>
        <v>0.97625039999999996</v>
      </c>
      <c r="E44" s="840">
        <v>0.44</v>
      </c>
      <c r="F44" s="845">
        <f t="shared" si="0"/>
        <v>0.22</v>
      </c>
      <c r="G44" s="720" t="s">
        <v>227</v>
      </c>
    </row>
    <row r="45" spans="1:11" ht="15" thickBot="1" x14ac:dyDescent="0.35"/>
    <row r="46" spans="1:11" ht="15" thickBot="1" x14ac:dyDescent="0.35">
      <c r="A46" s="736" t="s">
        <v>228</v>
      </c>
      <c r="B46" s="735">
        <v>512</v>
      </c>
      <c r="C46" s="864" t="s">
        <v>218</v>
      </c>
      <c r="D46" s="735">
        <f>1.2*(0.16+B46*(0.0083))</f>
        <v>5.2915200000000002</v>
      </c>
      <c r="E46" s="840">
        <v>2.27</v>
      </c>
      <c r="F46" s="845">
        <f t="shared" si="0"/>
        <v>1.135</v>
      </c>
      <c r="G46" s="720" t="s">
        <v>227</v>
      </c>
    </row>
    <row r="47" spans="1:11" ht="15" thickBot="1" x14ac:dyDescent="0.35"/>
    <row r="48" spans="1:11" ht="15" thickBot="1" x14ac:dyDescent="0.35">
      <c r="A48" s="736" t="s">
        <v>229</v>
      </c>
      <c r="B48" s="735">
        <v>118</v>
      </c>
      <c r="C48" s="864" t="s">
        <v>218</v>
      </c>
      <c r="D48" s="735">
        <f>1.2*(0.16+B48*(0.0083))</f>
        <v>1.3672799999999998</v>
      </c>
      <c r="E48" s="840">
        <v>0.61</v>
      </c>
      <c r="F48" s="845">
        <f t="shared" si="0"/>
        <v>0.30499999999999999</v>
      </c>
      <c r="G48" s="720" t="s">
        <v>227</v>
      </c>
    </row>
    <row r="49" spans="1:7" ht="15" thickBot="1" x14ac:dyDescent="0.35"/>
    <row r="50" spans="1:7" ht="15" thickBot="1" x14ac:dyDescent="0.35">
      <c r="A50" s="736" t="s">
        <v>230</v>
      </c>
      <c r="B50" s="735">
        <v>138</v>
      </c>
      <c r="C50" s="864" t="s">
        <v>218</v>
      </c>
      <c r="D50" s="735">
        <f>1.2*(0.16+B50*(0.0083))</f>
        <v>1.5664799999999999</v>
      </c>
      <c r="E50" s="840">
        <v>0.7</v>
      </c>
      <c r="F50" s="845">
        <f t="shared" si="0"/>
        <v>0.35</v>
      </c>
      <c r="G50" s="720" t="s">
        <v>227</v>
      </c>
    </row>
    <row r="51" spans="1:7" ht="15" thickBot="1" x14ac:dyDescent="0.35"/>
    <row r="52" spans="1:7" ht="15" thickBot="1" x14ac:dyDescent="0.35">
      <c r="A52" s="736" t="s">
        <v>231</v>
      </c>
      <c r="B52" s="735">
        <v>488</v>
      </c>
      <c r="C52" s="864" t="s">
        <v>218</v>
      </c>
      <c r="D52" s="735">
        <f>1.2*(0.16+B52*(0.0083))</f>
        <v>5.0524800000000001</v>
      </c>
      <c r="E52" s="840">
        <v>2.27</v>
      </c>
      <c r="F52" s="845">
        <f t="shared" si="0"/>
        <v>1.135</v>
      </c>
      <c r="G52" s="720" t="s">
        <v>227</v>
      </c>
    </row>
    <row r="53" spans="1:7" ht="15" thickBot="1" x14ac:dyDescent="0.35"/>
    <row r="54" spans="1:7" ht="15" thickBot="1" x14ac:dyDescent="0.35">
      <c r="A54" s="736" t="s">
        <v>232</v>
      </c>
      <c r="B54" s="735">
        <v>78.739999999999995</v>
      </c>
      <c r="C54" s="864" t="s">
        <v>218</v>
      </c>
      <c r="D54" s="735">
        <f>1.2*(0.16+B54*(0.0083))</f>
        <v>0.97625039999999996</v>
      </c>
      <c r="E54" s="840">
        <v>0.44</v>
      </c>
      <c r="F54" s="845">
        <f t="shared" si="0"/>
        <v>0.22</v>
      </c>
      <c r="G54" s="720" t="s">
        <v>227</v>
      </c>
    </row>
    <row r="55" spans="1:7" x14ac:dyDescent="0.3">
      <c r="B55" s="36"/>
      <c r="C55" s="36"/>
      <c r="D55" s="36"/>
      <c r="E55" s="36"/>
      <c r="G55" s="36"/>
    </row>
    <row r="56" spans="1:7" ht="15" thickBot="1" x14ac:dyDescent="0.35">
      <c r="B56" s="36"/>
      <c r="C56" s="36"/>
      <c r="D56" s="36"/>
      <c r="E56" s="36"/>
      <c r="F56" s="36"/>
      <c r="G56" s="36"/>
    </row>
    <row r="57" spans="1:7" ht="26.4" thickBot="1" x14ac:dyDescent="0.55000000000000004">
      <c r="A57" s="865" t="s">
        <v>233</v>
      </c>
      <c r="B57" s="866"/>
      <c r="C57" s="867"/>
      <c r="D57" s="868">
        <f>SUM(D2:D54)</f>
        <v>24.878180799999999</v>
      </c>
      <c r="E57" s="866">
        <f>SUM(E2:E54)</f>
        <v>13.957999999999998</v>
      </c>
      <c r="F57" s="869">
        <f>SUM(F44:F54)</f>
        <v>3.3649999999999998</v>
      </c>
      <c r="G57" s="36"/>
    </row>
    <row r="58" spans="1:7" x14ac:dyDescent="0.3">
      <c r="B58" s="36"/>
      <c r="C58" s="36"/>
      <c r="D58" s="36"/>
      <c r="E58" s="36"/>
      <c r="F58" s="36"/>
      <c r="G58" s="36"/>
    </row>
    <row r="59" spans="1:7" x14ac:dyDescent="0.3">
      <c r="B59" s="36"/>
      <c r="C59" s="36"/>
      <c r="D59" s="36"/>
      <c r="G59" s="36"/>
    </row>
    <row r="60" spans="1:7" x14ac:dyDescent="0.3">
      <c r="B60" s="36"/>
      <c r="C60" s="36"/>
      <c r="D60" s="36"/>
      <c r="E60" s="36"/>
      <c r="F60" s="36"/>
      <c r="G60" s="36"/>
    </row>
    <row r="61" spans="1:7" x14ac:dyDescent="0.3">
      <c r="B61" s="36"/>
      <c r="C61" s="36"/>
      <c r="D61" s="36"/>
      <c r="E61" s="36"/>
      <c r="F61" s="36"/>
      <c r="G61" s="36"/>
    </row>
    <row r="62" spans="1:7" x14ac:dyDescent="0.3">
      <c r="B62" s="36"/>
      <c r="C62" s="36"/>
      <c r="D62" s="36"/>
      <c r="E62" s="36"/>
      <c r="F62" s="36"/>
      <c r="G62" s="36"/>
    </row>
    <row r="63" spans="1:7" x14ac:dyDescent="0.3">
      <c r="B63" s="36"/>
      <c r="C63" s="36"/>
      <c r="D63" s="36"/>
      <c r="E63" s="36"/>
      <c r="F63" s="36"/>
      <c r="G63" s="36"/>
    </row>
    <row r="64" spans="1:7" x14ac:dyDescent="0.3">
      <c r="B64" s="36"/>
      <c r="C64" s="36"/>
      <c r="D64" s="36"/>
      <c r="E64" s="36"/>
      <c r="F64" s="36"/>
      <c r="G64" s="36"/>
    </row>
    <row r="65" spans="2:7" x14ac:dyDescent="0.3">
      <c r="B65" s="36"/>
      <c r="C65" s="36"/>
      <c r="D65" s="36"/>
      <c r="E65" s="36"/>
      <c r="F65" s="36"/>
      <c r="G65" s="36"/>
    </row>
    <row r="66" spans="2:7" x14ac:dyDescent="0.3">
      <c r="B66" s="36"/>
      <c r="C66" s="36"/>
      <c r="D66" s="36"/>
      <c r="E66" s="36"/>
      <c r="F66" s="36"/>
      <c r="G66" s="36"/>
    </row>
    <row r="67" spans="2:7" x14ac:dyDescent="0.3">
      <c r="B67" s="36"/>
      <c r="C67" s="36"/>
      <c r="D67" s="36"/>
      <c r="E67" s="36"/>
      <c r="F67" s="36"/>
      <c r="G67" s="36"/>
    </row>
    <row r="68" spans="2:7" x14ac:dyDescent="0.3">
      <c r="C68" s="36"/>
      <c r="G68" s="36"/>
    </row>
    <row r="69" spans="2:7" x14ac:dyDescent="0.3">
      <c r="C69" s="36"/>
      <c r="G69" s="36"/>
    </row>
    <row r="70" spans="2:7" x14ac:dyDescent="0.3">
      <c r="C70" s="36"/>
      <c r="G70" s="36"/>
    </row>
    <row r="71" spans="2:7" x14ac:dyDescent="0.3">
      <c r="C71" s="36"/>
      <c r="G71" s="36"/>
    </row>
    <row r="72" spans="2:7" x14ac:dyDescent="0.3">
      <c r="C72" s="36"/>
      <c r="G72" s="36"/>
    </row>
    <row r="73" spans="2:7" x14ac:dyDescent="0.3">
      <c r="C73" s="36"/>
      <c r="G73" s="36"/>
    </row>
    <row r="74" spans="2:7" x14ac:dyDescent="0.3">
      <c r="C74" s="36"/>
      <c r="G74" s="36"/>
    </row>
  </sheetData>
  <autoFilter ref="A1:G74" xr:uid="{00000000-0009-0000-0000-000004000000}"/>
  <mergeCells count="22">
    <mergeCell ref="A37:A38"/>
    <mergeCell ref="C37:C38"/>
    <mergeCell ref="G37:G38"/>
    <mergeCell ref="A40:A41"/>
    <mergeCell ref="C40:C41"/>
    <mergeCell ref="G40:G41"/>
    <mergeCell ref="G25:G27"/>
    <mergeCell ref="A10:A11"/>
    <mergeCell ref="G10:G11"/>
    <mergeCell ref="A17:A19"/>
    <mergeCell ref="G17:G19"/>
    <mergeCell ref="A21:A23"/>
    <mergeCell ref="C21:C23"/>
    <mergeCell ref="D21:D23"/>
    <mergeCell ref="E21:E23"/>
    <mergeCell ref="F21:F23"/>
    <mergeCell ref="G21:G23"/>
    <mergeCell ref="A25:A27"/>
    <mergeCell ref="C25:C27"/>
    <mergeCell ref="D25:D27"/>
    <mergeCell ref="E25:E27"/>
    <mergeCell ref="F25:F27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Feuil24"/>
  <dimension ref="A1:CL75"/>
  <sheetViews>
    <sheetView tabSelected="1" topLeftCell="A40" zoomScale="89" zoomScaleNormal="100" workbookViewId="0">
      <selection activeCell="A54" sqref="A54"/>
    </sheetView>
  </sheetViews>
  <sheetFormatPr baseColWidth="10" defaultColWidth="11.44140625" defaultRowHeight="14.4" x14ac:dyDescent="0.3"/>
  <cols>
    <col min="1" max="1" width="30.5546875" bestFit="1" customWidth="1"/>
    <col min="2" max="2" width="35.33203125" style="3" bestFit="1" customWidth="1"/>
    <col min="3" max="3" width="30.5546875" style="50" customWidth="1"/>
    <col min="4" max="4" width="44.5546875" style="50" customWidth="1"/>
    <col min="5" max="5" width="17.88671875" style="50" customWidth="1"/>
    <col min="6" max="6" width="25.44140625" style="3" bestFit="1" customWidth="1"/>
    <col min="7" max="7" width="30.5546875" style="50" bestFit="1" customWidth="1"/>
    <col min="8" max="8" width="17.44140625" style="3" bestFit="1" customWidth="1"/>
    <col min="9" max="9" width="13.44140625" style="3" bestFit="1" customWidth="1"/>
    <col min="10" max="10" width="19.109375" style="3" bestFit="1" customWidth="1"/>
    <col min="11" max="11" width="12.109375" style="3" bestFit="1" customWidth="1"/>
    <col min="12" max="12" width="13.109375" style="3" bestFit="1" customWidth="1"/>
    <col min="13" max="13" width="27.109375" style="3" bestFit="1" customWidth="1"/>
    <col min="14" max="14" width="22" style="3" bestFit="1" customWidth="1"/>
    <col min="15" max="15" width="9.33203125" style="3" bestFit="1" customWidth="1"/>
    <col min="16" max="16" width="23.5546875" style="3" bestFit="1" customWidth="1"/>
    <col min="17" max="17" width="8.33203125" style="3" bestFit="1" customWidth="1"/>
    <col min="18" max="18" width="40.5546875" style="3" bestFit="1" customWidth="1"/>
    <col min="19" max="19" width="39.109375" style="3" bestFit="1" customWidth="1"/>
    <col min="20" max="20" width="12.44140625" style="3" bestFit="1" customWidth="1"/>
    <col min="21" max="21" width="9.33203125" style="3" bestFit="1" customWidth="1"/>
    <col min="22" max="22" width="33.5546875" style="3" bestFit="1" customWidth="1"/>
    <col min="23" max="23" width="10" bestFit="1" customWidth="1"/>
    <col min="24" max="24" width="21.109375" bestFit="1" customWidth="1"/>
    <col min="25" max="25" width="24.5546875" bestFit="1" customWidth="1"/>
    <col min="26" max="26" width="15.88671875" bestFit="1" customWidth="1"/>
    <col min="27" max="27" width="33.5546875" bestFit="1" customWidth="1"/>
    <col min="28" max="28" width="30.5546875" bestFit="1" customWidth="1"/>
    <col min="31" max="31" width="28.109375" bestFit="1" customWidth="1"/>
    <col min="34" max="34" width="33.5546875" bestFit="1" customWidth="1"/>
    <col min="37" max="37" width="21.6640625" bestFit="1" customWidth="1"/>
    <col min="40" max="40" width="30.5546875" bestFit="1" customWidth="1"/>
    <col min="42" max="42" width="33.5546875" bestFit="1" customWidth="1"/>
    <col min="43" max="43" width="33.6640625" bestFit="1" customWidth="1"/>
    <col min="46" max="46" width="16.109375" bestFit="1" customWidth="1"/>
    <col min="49" max="49" width="21.88671875" bestFit="1" customWidth="1"/>
    <col min="52" max="52" width="23.33203125" bestFit="1" customWidth="1"/>
    <col min="55" max="55" width="22.88671875" bestFit="1" customWidth="1"/>
    <col min="58" max="58" width="28.6640625" bestFit="1" customWidth="1"/>
    <col min="61" max="61" width="19.109375" bestFit="1" customWidth="1"/>
    <col min="63" max="63" width="33.5546875" bestFit="1" customWidth="1"/>
    <col min="64" max="64" width="19.109375" bestFit="1" customWidth="1"/>
    <col min="67" max="67" width="24.88671875" bestFit="1" customWidth="1"/>
    <col min="70" max="70" width="27.5546875" bestFit="1" customWidth="1"/>
    <col min="73" max="73" width="22.6640625" bestFit="1" customWidth="1"/>
    <col min="76" max="76" width="16.44140625" bestFit="1" customWidth="1"/>
    <col min="79" max="79" width="28.88671875" bestFit="1" customWidth="1"/>
    <col min="82" max="82" width="21" bestFit="1" customWidth="1"/>
    <col min="85" max="85" width="19.33203125" bestFit="1" customWidth="1"/>
  </cols>
  <sheetData>
    <row r="1" spans="1:63" ht="15" thickBot="1" x14ac:dyDescent="0.35">
      <c r="A1" s="242" t="s">
        <v>234</v>
      </c>
      <c r="B1" s="242"/>
      <c r="C1" s="919"/>
      <c r="D1" s="951" t="s">
        <v>235</v>
      </c>
      <c r="E1" s="974" t="s">
        <v>23</v>
      </c>
      <c r="F1" s="245" t="s">
        <v>236</v>
      </c>
      <c r="G1" s="958" t="s">
        <v>237</v>
      </c>
      <c r="H1" s="452" t="s">
        <v>238</v>
      </c>
      <c r="I1" s="453" t="s">
        <v>23</v>
      </c>
      <c r="J1" s="454" t="s">
        <v>236</v>
      </c>
      <c r="K1" s="455" t="s">
        <v>237</v>
      </c>
      <c r="L1" s="246" t="s">
        <v>239</v>
      </c>
      <c r="M1" s="245" t="s">
        <v>23</v>
      </c>
      <c r="N1" s="243" t="s">
        <v>128</v>
      </c>
      <c r="O1" s="245" t="s">
        <v>23</v>
      </c>
      <c r="P1" s="243" t="s">
        <v>167</v>
      </c>
      <c r="Q1" s="245" t="s">
        <v>23</v>
      </c>
      <c r="R1" s="243" t="s">
        <v>240</v>
      </c>
      <c r="S1" s="245" t="s">
        <v>23</v>
      </c>
      <c r="T1" s="243" t="s">
        <v>131</v>
      </c>
      <c r="U1" s="245" t="s">
        <v>23</v>
      </c>
      <c r="V1" s="243" t="s">
        <v>241</v>
      </c>
      <c r="W1" s="244" t="s">
        <v>23</v>
      </c>
      <c r="X1" s="243" t="s">
        <v>242</v>
      </c>
      <c r="Y1" s="244" t="s">
        <v>23</v>
      </c>
      <c r="Z1" s="895" t="s">
        <v>243</v>
      </c>
      <c r="AP1" s="242" t="s">
        <v>234</v>
      </c>
      <c r="BK1" s="242" t="s">
        <v>234</v>
      </c>
    </row>
    <row r="2" spans="1:63" ht="15" thickBot="1" x14ac:dyDescent="0.35">
      <c r="D2" s="952" t="s">
        <v>47</v>
      </c>
      <c r="E2" s="975">
        <f>SUM(B19)</f>
        <v>39.131980499999997</v>
      </c>
      <c r="F2" s="364"/>
      <c r="G2" s="959" t="s">
        <v>51</v>
      </c>
      <c r="H2" s="456" t="s">
        <v>244</v>
      </c>
      <c r="I2" s="371">
        <f t="shared" ref="I2:I8" si="0">SUM(B26)</f>
        <v>0.16883619999999999</v>
      </c>
      <c r="J2" s="371"/>
      <c r="K2" s="377"/>
      <c r="L2" s="234" t="s">
        <v>245</v>
      </c>
      <c r="M2" s="235">
        <f>SUM(B25)</f>
        <v>6.0000000000000001E-3</v>
      </c>
      <c r="N2" s="213" t="s">
        <v>246</v>
      </c>
      <c r="O2" s="224">
        <f>SUM(B43)</f>
        <v>0.21099999999999999</v>
      </c>
      <c r="P2" s="225" t="s">
        <v>247</v>
      </c>
      <c r="Q2" s="226">
        <f>SUM(B39)</f>
        <v>8.500000000000002E-2</v>
      </c>
      <c r="R2" s="216" t="s">
        <v>248</v>
      </c>
      <c r="S2" s="217">
        <f t="shared" ref="S2:S7" si="1">SUM(B33)</f>
        <v>3.1941900000000002E-2</v>
      </c>
      <c r="T2" s="236" t="s">
        <v>249</v>
      </c>
      <c r="U2" s="237">
        <f>SUM(B47)</f>
        <v>9.4E-2</v>
      </c>
      <c r="V2" s="238" t="s">
        <v>250</v>
      </c>
      <c r="W2" s="239">
        <f>SUM(B48)</f>
        <v>12.380999999999998</v>
      </c>
      <c r="X2" s="240" t="s">
        <v>36</v>
      </c>
      <c r="Y2" s="893">
        <f>SUM(B45)</f>
        <v>0.48799999999999999</v>
      </c>
      <c r="Z2" s="33" t="s">
        <v>251</v>
      </c>
    </row>
    <row r="3" spans="1:63" ht="15" thickBot="1" x14ac:dyDescent="0.35">
      <c r="D3" s="953" t="s">
        <v>252</v>
      </c>
      <c r="E3" s="976">
        <f>SUM('RECAP MATIERE'!B20)</f>
        <v>7.2109999999999985</v>
      </c>
      <c r="F3" s="359"/>
      <c r="G3" s="960" t="s">
        <v>51</v>
      </c>
      <c r="H3" s="203" t="s">
        <v>253</v>
      </c>
      <c r="I3" s="372">
        <f t="shared" si="0"/>
        <v>6.9298465999999967</v>
      </c>
      <c r="J3" s="372"/>
      <c r="K3" s="223"/>
      <c r="N3" s="232" t="s">
        <v>254</v>
      </c>
      <c r="O3" s="233"/>
      <c r="P3" s="227" t="s">
        <v>255</v>
      </c>
      <c r="Q3" s="228">
        <f>SUM(B40)</f>
        <v>0.10700000000000001</v>
      </c>
      <c r="R3" s="204" t="s">
        <v>240</v>
      </c>
      <c r="S3" s="218">
        <f t="shared" si="1"/>
        <v>0.94517592000000017</v>
      </c>
      <c r="X3" s="241" t="s">
        <v>256</v>
      </c>
      <c r="Y3" s="892">
        <f>SUM(B46)</f>
        <v>1.4E-3</v>
      </c>
      <c r="Z3" s="896" t="s">
        <v>257</v>
      </c>
    </row>
    <row r="4" spans="1:63" ht="15" thickBot="1" x14ac:dyDescent="0.35">
      <c r="D4" s="954" t="s">
        <v>258</v>
      </c>
      <c r="E4" s="977">
        <f>SUM(B21)</f>
        <v>3.3000000000000002E-2</v>
      </c>
      <c r="F4" s="360"/>
      <c r="G4" s="961" t="s">
        <v>51</v>
      </c>
      <c r="H4" s="205" t="s">
        <v>259</v>
      </c>
      <c r="I4" s="373">
        <f t="shared" si="0"/>
        <v>2.2000000000000002E-2</v>
      </c>
      <c r="J4" s="373"/>
      <c r="K4" s="206" t="s">
        <v>260</v>
      </c>
      <c r="P4" s="229" t="s">
        <v>261</v>
      </c>
      <c r="Q4" s="230">
        <f>SUM(B41)</f>
        <v>4.0000000000000001E-3</v>
      </c>
      <c r="R4" s="201" t="s">
        <v>262</v>
      </c>
      <c r="S4" s="202">
        <f t="shared" si="1"/>
        <v>4.2445600000000007E-2</v>
      </c>
      <c r="Y4" s="5"/>
      <c r="Z4" s="897" t="s">
        <v>263</v>
      </c>
    </row>
    <row r="5" spans="1:63" x14ac:dyDescent="0.3">
      <c r="D5" s="955" t="s">
        <v>91</v>
      </c>
      <c r="E5" s="978">
        <f>SUM(B22)</f>
        <v>12.003004800000001</v>
      </c>
      <c r="F5" s="361"/>
      <c r="G5" s="962" t="s">
        <v>264</v>
      </c>
      <c r="H5" s="207" t="s">
        <v>265</v>
      </c>
      <c r="I5" s="374">
        <f t="shared" si="0"/>
        <v>8.4000000000000005E-2</v>
      </c>
      <c r="J5" s="374"/>
      <c r="K5" s="208" t="s">
        <v>260</v>
      </c>
      <c r="P5" s="344" t="s">
        <v>266</v>
      </c>
      <c r="Q5" s="344">
        <f>SUM(B42)</f>
        <v>2.331</v>
      </c>
      <c r="R5" s="214" t="s">
        <v>267</v>
      </c>
      <c r="S5" s="219">
        <f t="shared" si="1"/>
        <v>1.4929999999999999</v>
      </c>
      <c r="Z5" s="898" t="s">
        <v>268</v>
      </c>
    </row>
    <row r="6" spans="1:63" x14ac:dyDescent="0.3">
      <c r="D6" s="956" t="s">
        <v>269</v>
      </c>
      <c r="E6" s="979">
        <f>SUM(B23)</f>
        <v>0.40400000000000003</v>
      </c>
      <c r="F6" s="362"/>
      <c r="G6" s="963" t="s">
        <v>264</v>
      </c>
      <c r="H6" s="199" t="s">
        <v>270</v>
      </c>
      <c r="I6" s="375">
        <f t="shared" si="0"/>
        <v>1.4539999999999995</v>
      </c>
      <c r="J6" s="375"/>
      <c r="K6" s="200" t="s">
        <v>260</v>
      </c>
      <c r="R6" s="215" t="s">
        <v>271</v>
      </c>
      <c r="S6" s="220">
        <f t="shared" si="1"/>
        <v>4.9931999999999997E-3</v>
      </c>
      <c r="Z6" s="899" t="s">
        <v>272</v>
      </c>
    </row>
    <row r="7" spans="1:63" ht="15" thickBot="1" x14ac:dyDescent="0.35">
      <c r="D7" s="957" t="s">
        <v>60</v>
      </c>
      <c r="E7" s="980">
        <f>SUM(B24)</f>
        <v>10.7460895</v>
      </c>
      <c r="F7" s="363"/>
      <c r="G7" s="964"/>
      <c r="H7" s="209" t="s">
        <v>273</v>
      </c>
      <c r="I7" s="376">
        <f t="shared" si="0"/>
        <v>0.86699999999999999</v>
      </c>
      <c r="J7" s="376"/>
      <c r="K7" s="210" t="s">
        <v>260</v>
      </c>
      <c r="R7" s="221" t="s">
        <v>274</v>
      </c>
      <c r="S7" s="222">
        <f t="shared" si="1"/>
        <v>0.151</v>
      </c>
      <c r="Z7" s="900" t="s">
        <v>275</v>
      </c>
    </row>
    <row r="8" spans="1:63" ht="15" thickBot="1" x14ac:dyDescent="0.35">
      <c r="H8" s="211" t="s">
        <v>276</v>
      </c>
      <c r="I8" s="378">
        <f t="shared" si="0"/>
        <v>2E-3</v>
      </c>
      <c r="J8" s="378"/>
      <c r="K8" s="212"/>
      <c r="R8" s="3" t="s">
        <v>277</v>
      </c>
      <c r="S8" s="3">
        <f>SUM(B49)</f>
        <v>0.01</v>
      </c>
      <c r="Z8" s="901" t="s">
        <v>278</v>
      </c>
    </row>
    <row r="9" spans="1:63" x14ac:dyDescent="0.3">
      <c r="R9" s="3" t="s">
        <v>279</v>
      </c>
      <c r="S9" s="3">
        <f>SUM(B50)</f>
        <v>2E-3</v>
      </c>
      <c r="Z9" s="902" t="s">
        <v>280</v>
      </c>
    </row>
    <row r="10" spans="1:63" x14ac:dyDescent="0.3">
      <c r="R10" s="3" t="s">
        <v>281</v>
      </c>
      <c r="S10" s="3">
        <f>SUM(B51)</f>
        <v>1.3839999999999999</v>
      </c>
    </row>
    <row r="11" spans="1:63" x14ac:dyDescent="0.3">
      <c r="R11" s="3" t="s">
        <v>282</v>
      </c>
      <c r="S11" s="3">
        <f>SUM(B52)</f>
        <v>0.39200000000000002</v>
      </c>
    </row>
    <row r="12" spans="1:63" x14ac:dyDescent="0.3">
      <c r="D12" s="50" t="s">
        <v>283</v>
      </c>
      <c r="E12" s="50">
        <f>SUM(E2:E11)</f>
        <v>69.529074800000004</v>
      </c>
      <c r="H12" s="3" t="s">
        <v>284</v>
      </c>
      <c r="I12" s="3">
        <f>SUM(I2:I11)</f>
        <v>9.5276827999999956</v>
      </c>
      <c r="N12" s="3" t="s">
        <v>285</v>
      </c>
      <c r="O12" s="3">
        <f>SUM(O2:O11)</f>
        <v>0.21099999999999999</v>
      </c>
      <c r="P12" s="3" t="s">
        <v>286</v>
      </c>
      <c r="Q12" s="3">
        <f>SUM(Q2:Q11)</f>
        <v>2.5270000000000001</v>
      </c>
      <c r="R12" s="3" t="s">
        <v>287</v>
      </c>
      <c r="S12" s="3">
        <f>SUM(S2:S11)</f>
        <v>4.4565566199999997</v>
      </c>
    </row>
    <row r="14" spans="1:63" x14ac:dyDescent="0.3">
      <c r="A14" s="196" t="s">
        <v>288</v>
      </c>
      <c r="B14" s="196"/>
      <c r="C14" s="920"/>
      <c r="D14" s="920" t="str">
        <f>FAUTEUIL!D10</f>
        <v>???</v>
      </c>
      <c r="E14" s="920">
        <f>FAUTEUIL!E10</f>
        <v>0.308</v>
      </c>
      <c r="AA14" s="196" t="s">
        <v>288</v>
      </c>
      <c r="AP14" s="196" t="s">
        <v>288</v>
      </c>
      <c r="BK14" s="196" t="s">
        <v>288</v>
      </c>
    </row>
    <row r="15" spans="1:63" x14ac:dyDescent="0.3">
      <c r="A15" s="3"/>
      <c r="W15" s="3"/>
      <c r="X15" s="3"/>
      <c r="Y15" s="3"/>
      <c r="Z15" s="3"/>
      <c r="AA15" s="3"/>
      <c r="AP15" s="3"/>
      <c r="BK15" s="3"/>
    </row>
    <row r="16" spans="1:63" ht="15" thickBot="1" x14ac:dyDescent="0.35">
      <c r="A16" s="3"/>
      <c r="D16" s="50" t="s">
        <v>289</v>
      </c>
      <c r="W16" s="3"/>
      <c r="AA16" s="3"/>
      <c r="AP16" s="3"/>
      <c r="BK16" s="3"/>
    </row>
    <row r="17" spans="1:90" ht="30" customHeight="1" x14ac:dyDescent="0.3">
      <c r="A17" s="918" t="s">
        <v>290</v>
      </c>
      <c r="B17" s="918" t="s">
        <v>291</v>
      </c>
      <c r="C17" s="918" t="s">
        <v>292</v>
      </c>
      <c r="D17" s="918" t="s">
        <v>293</v>
      </c>
      <c r="E17" s="918" t="s">
        <v>294</v>
      </c>
      <c r="F17" s="918" t="s">
        <v>295</v>
      </c>
      <c r="G17" s="918" t="s">
        <v>296</v>
      </c>
      <c r="H17" s="2" t="s">
        <v>297</v>
      </c>
      <c r="I17" s="2"/>
      <c r="J17" s="519"/>
      <c r="K17" s="449" t="s">
        <v>298</v>
      </c>
      <c r="L17" s="519"/>
      <c r="N17" s="51" t="s">
        <v>58</v>
      </c>
      <c r="O17" s="519"/>
      <c r="Q17" s="449" t="s">
        <v>63</v>
      </c>
      <c r="R17" s="6"/>
      <c r="S17"/>
      <c r="T17" s="449" t="s">
        <v>69</v>
      </c>
      <c r="U17" s="519"/>
      <c r="W17" s="449" t="s">
        <v>72</v>
      </c>
      <c r="X17" s="519"/>
      <c r="Y17" s="3"/>
      <c r="Z17" s="449" t="s">
        <v>78</v>
      </c>
      <c r="AA17" s="519"/>
      <c r="AB17" s="3"/>
      <c r="AC17" s="449" t="s">
        <v>81</v>
      </c>
      <c r="AD17" s="519"/>
      <c r="AE17" s="3"/>
      <c r="AF17" s="449" t="s">
        <v>88</v>
      </c>
      <c r="AG17" s="519"/>
      <c r="AI17" s="51" t="s">
        <v>97</v>
      </c>
      <c r="AJ17" s="6"/>
      <c r="AL17" s="51" t="s">
        <v>95</v>
      </c>
      <c r="AM17" s="6"/>
      <c r="AO17" s="51" t="s">
        <v>102</v>
      </c>
      <c r="AP17" s="6"/>
      <c r="AR17" s="51" t="s">
        <v>105</v>
      </c>
      <c r="AS17" s="6"/>
      <c r="AT17" s="3"/>
      <c r="AU17" s="51" t="s">
        <v>299</v>
      </c>
      <c r="AV17" s="6"/>
      <c r="AX17" s="51" t="s">
        <v>116</v>
      </c>
      <c r="AY17" s="6"/>
      <c r="BA17" s="51" t="s">
        <v>118</v>
      </c>
      <c r="BB17" s="6"/>
      <c r="BD17" s="51" t="s">
        <v>122</v>
      </c>
      <c r="BE17" s="6"/>
      <c r="BG17" s="51" t="s">
        <v>135</v>
      </c>
      <c r="BH17" s="6"/>
      <c r="BJ17" s="51" t="s">
        <v>137</v>
      </c>
      <c r="BK17" s="6"/>
      <c r="BM17" s="762" t="s">
        <v>140</v>
      </c>
      <c r="BN17" s="6"/>
      <c r="BO17" s="3"/>
      <c r="BP17" s="51" t="s">
        <v>142</v>
      </c>
      <c r="BQ17" s="6"/>
      <c r="BS17" s="51" t="s">
        <v>300</v>
      </c>
      <c r="BT17" s="6"/>
      <c r="BV17" s="51" t="s">
        <v>147</v>
      </c>
      <c r="BW17" s="6"/>
      <c r="BY17" s="51" t="s">
        <v>301</v>
      </c>
      <c r="BZ17" s="6"/>
      <c r="CB17" s="51" t="s">
        <v>162</v>
      </c>
      <c r="CC17" s="6"/>
      <c r="CE17" s="51" t="s">
        <v>302</v>
      </c>
      <c r="CF17" s="6"/>
      <c r="CH17" s="51" t="s">
        <v>168</v>
      </c>
      <c r="CI17" s="6"/>
      <c r="CK17" s="51" t="s">
        <v>170</v>
      </c>
      <c r="CL17" s="6"/>
    </row>
    <row r="18" spans="1:90" s="46" customFormat="1" x14ac:dyDescent="0.3">
      <c r="A18" s="912"/>
      <c r="B18" s="912"/>
      <c r="C18" s="921"/>
      <c r="D18" s="921"/>
      <c r="E18" s="921"/>
      <c r="F18" s="912"/>
      <c r="G18" s="921"/>
      <c r="H18" s="911" t="str">
        <f>FAUTEUIL!D3</f>
        <v>RECAP MATIERE</v>
      </c>
      <c r="I18" s="308">
        <f>FAUTEUIL!E3</f>
        <v>23.346099999999993</v>
      </c>
      <c r="J18" s="520"/>
      <c r="K18" s="761" t="str">
        <f>COQUE!D4</f>
        <v>RECAP MATIERE</v>
      </c>
      <c r="L18" s="520">
        <f>COQUE!E4</f>
        <v>9.4309999999999992</v>
      </c>
      <c r="N18" s="761" t="str">
        <f>TETIERE!D4</f>
        <v>RECAP MATIERE</v>
      </c>
      <c r="O18" s="520">
        <f>TETIERE!E4</f>
        <v>0.79449999999999987</v>
      </c>
      <c r="P18" s="308"/>
      <c r="Q18" s="761" t="str">
        <f>'ENS TABLETTE COCKTAIL'!D3</f>
        <v>RECAP MATIERE</v>
      </c>
      <c r="R18" s="520">
        <f>'ENS TABLETTE COCKTAIL'!E3</f>
        <v>5.4689999999999994</v>
      </c>
      <c r="S18" s="308"/>
      <c r="T18" s="761" t="str">
        <f>'ENS TABLETTE REPAS'!D3</f>
        <v>RECAP MATIERE</v>
      </c>
      <c r="U18" s="520">
        <f>'ENS TABLETTE REPAS'!E3</f>
        <v>3.6497000000000002</v>
      </c>
      <c r="V18" s="308"/>
      <c r="W18" s="761" t="str">
        <f>'STOWAGE ASSEMBLE AVEC PORTE'!D3</f>
        <v>RECAP MATIERE</v>
      </c>
      <c r="X18" s="520">
        <f>'STOWAGE ASSEMBLE AVEC PORTE'!E3</f>
        <v>6.8658381000000004</v>
      </c>
      <c r="Z18" s="761" t="str">
        <f>'SUPPORT ECRAN ASSEMBLE'!D3</f>
        <v>RECAP MATIERE</v>
      </c>
      <c r="AA18" s="520">
        <f>'SUPPORT ECRAN ASSEMBLE'!E3</f>
        <v>2.0273599999999998</v>
      </c>
      <c r="AB18" s="308"/>
      <c r="AC18" s="761" t="str">
        <f>'RENFORT TUBULAIRE'!D4</f>
        <v>RECAP MATIERE</v>
      </c>
      <c r="AD18" s="520">
        <f>'RENFORT TUBULAIRE'!E4</f>
        <v>1.3380000000000001</v>
      </c>
      <c r="AE18" s="308"/>
      <c r="AF18" s="761" t="str">
        <f>'HABILLAGE SOUS FAUTEUIL'!D4</f>
        <v>RECAP MATIERE</v>
      </c>
      <c r="AG18" s="520">
        <f>'HABILLAGE SOUS FAUTEUIL'!E4</f>
        <v>1.0570916000000001</v>
      </c>
      <c r="AI18" s="761" t="str">
        <f>'ENSEMBLE PALETTE OPTIMISEE'!D3</f>
        <v>RECAP MATIERE</v>
      </c>
      <c r="AJ18" s="520">
        <f>'ENSEMBLE PALETTE OPTIMISEE'!E3</f>
        <v>13.217306899999997</v>
      </c>
      <c r="AL18" s="761" t="str">
        <f>'ENSEMBLE EQUIPEMENTS LATERALES'!D4</f>
        <v>RECAP MATIERE</v>
      </c>
      <c r="AM18" s="520">
        <f>'ENSEMBLE EQUIPEMENTS LATERALES'!E4</f>
        <v>3.7464006999999988</v>
      </c>
      <c r="AO18" s="761" t="str">
        <f>'ACCOUDOIR ALLEE'!D3</f>
        <v>RECAP MATIERE</v>
      </c>
      <c r="AP18" s="520">
        <f>'ACCOUDOIR ALLEE'!E3</f>
        <v>3.8082376999999994</v>
      </c>
      <c r="AR18" s="761" t="str">
        <f>'BUMPER VERSION PORTE'!D4</f>
        <v>RECAP MATIERE</v>
      </c>
      <c r="AS18" s="520">
        <f>'BUMPER VERSION PORTE'!E4</f>
        <v>0.20499999999999999</v>
      </c>
      <c r="AT18" s="308"/>
      <c r="AU18" s="761" t="str">
        <f>'STRUCTURE OTTOMAN (horizontale)'!D3</f>
        <v>RECAP MATIERE</v>
      </c>
      <c r="AV18" s="520">
        <f>'STRUCTURE OTTOMAN (horizontale)'!E3</f>
        <v>1.9949167999999999</v>
      </c>
      <c r="AX18" s="761" t="str">
        <f>'SUPPORT EQUIPE'!D4</f>
        <v>RECAP MATIERE</v>
      </c>
      <c r="AY18" s="520">
        <f>'SUPPORT EQUIPE'!E4</f>
        <v>0.10200000000000001</v>
      </c>
      <c r="BA18" s="761" t="str">
        <f>'ENS STOWAGE LATERAL'!D3</f>
        <v>RECAP MATIERE</v>
      </c>
      <c r="BB18" s="520">
        <f>'ENS STOWAGE LATERAL'!E3</f>
        <v>1.6545789000000002</v>
      </c>
      <c r="BD18" s="761" t="str">
        <f>'MANCHETTE ACC MOBILE'!D4</f>
        <v>RECAP MATIERE</v>
      </c>
      <c r="BE18" s="520">
        <f>'MANCHETTE ACC MOBILE'!E4</f>
        <v>0.184</v>
      </c>
      <c r="BG18" s="761" t="str">
        <f>'MANCHETTE EQUIPEE'!D4</f>
        <v>RECAP MATIERE</v>
      </c>
      <c r="BH18" s="520">
        <f>'MANCHETTE EQUIPEE'!E4</f>
        <v>0.29414950000000006</v>
      </c>
      <c r="BJ18" s="761" t="str">
        <f>'SUPPORT MANCHETTE EQUIPEE'!D4</f>
        <v>RECAP MATIERE</v>
      </c>
      <c r="BK18" s="520">
        <f>'SUPPORT MANCHETTE EQUIPEE'!E4</f>
        <v>0.12300000000000001</v>
      </c>
      <c r="BM18" s="761" t="str">
        <f>'SUPPORT NFC'!D4</f>
        <v>RECAP MATIERE</v>
      </c>
      <c r="BN18" s="520">
        <f>'SUPPORT NFC'!E4</f>
        <v>0.01</v>
      </c>
      <c r="BO18" s="308"/>
      <c r="BP18" s="761" t="str">
        <f>'CAPOT NFC'!D4</f>
        <v>RECAP MATIERE</v>
      </c>
      <c r="BQ18" s="520">
        <f>'CAPOT NFC'!E4</f>
        <v>6.9000000000000006E-2</v>
      </c>
      <c r="BS18" s="761" t="str">
        <f>'ENS STRUCTURE FIXE'!D4</f>
        <v>RECAP MATIERE</v>
      </c>
      <c r="BT18" s="520">
        <f>'ENS STRUCTURE FIXE'!E4</f>
        <v>5.0662984199999972</v>
      </c>
      <c r="BV18" s="761" t="str">
        <f>'ENS PORTE'!D3</f>
        <v>RECAP MATIERE</v>
      </c>
      <c r="BW18" s="520">
        <f>'ENS PORTE'!E3</f>
        <v>8.7082356000000001</v>
      </c>
      <c r="BY18" s="761" t="str">
        <f>'COUSSIN OTTOMAN'!D4</f>
        <v>RECAP MATIERE</v>
      </c>
      <c r="BZ18" s="520">
        <f>'COUSSIN OTTOMAN'!E4</f>
        <v>1.3809999999999998</v>
      </c>
      <c r="CB18" s="761" t="str">
        <f>'COUSSIN TETIERE'!D4</f>
        <v>RECAP MATIERE</v>
      </c>
      <c r="CC18" s="520">
        <f>'COUSSIN TETIERE'!E4</f>
        <v>0.312</v>
      </c>
      <c r="CE18" s="761" t="str">
        <f>'ENS COUSSIN DOS VERSION TETIERE'!E4</f>
        <v>RECAP MATIERE</v>
      </c>
      <c r="CF18" s="520">
        <f>'ENS COUSSIN DOS VERSION TETIERE'!F4</f>
        <v>1.6019999999999999</v>
      </c>
      <c r="CH18" s="761" t="str">
        <f>'ENS COUSSIN DOSSIER'!E4</f>
        <v>RECAP MATIERE</v>
      </c>
      <c r="CI18" s="520">
        <f>'ENS COUSSIN DOSSIER'!F4</f>
        <v>1.8340000000000001</v>
      </c>
      <c r="CK18" s="761" t="str">
        <f>'ENS COUSSIN ASSISE'!D4</f>
        <v>RECAP MATIERE</v>
      </c>
      <c r="CL18" s="520">
        <f>'ENS COUSSIN ASSISE'!E4</f>
        <v>1.2909999999999999</v>
      </c>
    </row>
    <row r="19" spans="1:90" s="493" customFormat="1" ht="86.4" x14ac:dyDescent="0.3">
      <c r="A19" s="772" t="s">
        <v>47</v>
      </c>
      <c r="B19" s="772">
        <f>SUM(I19,L19,O19,R19,U19,X19,AA19,AD19,AG19,AJ19,AM19,AP19,AS19,AV19,AY19,BB19,BE19,BH19,BK19,BN19,BQ19,BT19,BW19,BZ19,CC19,CF19,CI19,CL19)</f>
        <v>39.131980499999997</v>
      </c>
      <c r="C19" s="913" t="s">
        <v>303</v>
      </c>
      <c r="D19" s="913" t="s">
        <v>304</v>
      </c>
      <c r="E19" s="913" t="str">
        <f t="shared" ref="E19:E40" si="2">D19</f>
        <v>EU28: AlCu4MgSi extrusion profile
ou EU28: AlCU4MgTi ingot
ou EU28 AlCu4Mg1  sheet</v>
      </c>
      <c r="F19" s="913" t="s">
        <v>305</v>
      </c>
      <c r="G19" s="913" t="s">
        <v>306</v>
      </c>
      <c r="H19" s="195" t="str">
        <f>FAUTEUIL!D4</f>
        <v>A2017</v>
      </c>
      <c r="I19" s="280">
        <f>FAUTEUIL!E4</f>
        <v>12.761099999999999</v>
      </c>
      <c r="J19" s="165"/>
      <c r="K19" s="298" t="str">
        <f>COQUE!D5</f>
        <v>A2017</v>
      </c>
      <c r="L19" s="279">
        <f>COQUE!E5</f>
        <v>8.0000000000000002E-3</v>
      </c>
      <c r="N19" s="298" t="str">
        <f>TETIERE!D5</f>
        <v>A2017</v>
      </c>
      <c r="O19" s="279">
        <f>TETIERE!E5</f>
        <v>0.44249999999999995</v>
      </c>
      <c r="P19" s="195"/>
      <c r="Q19" s="298" t="str">
        <f>'ENS TABLETTE COCKTAIL'!D4</f>
        <v>A2017</v>
      </c>
      <c r="R19" s="279">
        <f>'ENS TABLETTE COCKTAIL'!E4</f>
        <v>3.5230000000000001</v>
      </c>
      <c r="S19" s="195"/>
      <c r="T19" s="298" t="str">
        <f>'ENS TABLETTE REPAS'!D4</f>
        <v>A2017</v>
      </c>
      <c r="U19" s="279">
        <f>'ENS TABLETTE REPAS'!E4</f>
        <v>2.125</v>
      </c>
      <c r="V19" s="195"/>
      <c r="W19" s="298" t="str">
        <f>'STOWAGE ASSEMBLE AVEC PORTE'!D4</f>
        <v>A2017</v>
      </c>
      <c r="X19" s="279">
        <f>'STOWAGE ASSEMBLE AVEC PORTE'!E4</f>
        <v>3.9560000000000004</v>
      </c>
      <c r="Z19" s="298" t="str">
        <f>'SUPPORT ECRAN ASSEMBLE'!D4</f>
        <v>A2017</v>
      </c>
      <c r="AA19" s="279">
        <f>'SUPPORT ECRAN ASSEMBLE'!E4</f>
        <v>1.45</v>
      </c>
      <c r="AB19" s="195"/>
      <c r="AC19" s="298"/>
      <c r="AD19" s="165"/>
      <c r="AE19" s="195" t="s">
        <v>47</v>
      </c>
      <c r="AF19" s="298"/>
      <c r="AG19" s="165"/>
      <c r="AI19" s="298" t="str">
        <f>'ENSEMBLE PALETTE OPTIMISEE'!D4</f>
        <v>A2017</v>
      </c>
      <c r="AJ19" s="165">
        <f>'ENSEMBLE PALETTE OPTIMISEE'!E4</f>
        <v>12.332999999999998</v>
      </c>
      <c r="AL19" s="626"/>
      <c r="AM19" s="627"/>
      <c r="AO19" s="298" t="str">
        <f>'ACCOUDOIR ALLEE'!D4</f>
        <v>A2017</v>
      </c>
      <c r="AP19" s="165">
        <f>'ACCOUDOIR ALLEE'!E4</f>
        <v>2.4299999999999997</v>
      </c>
      <c r="AR19" s="626"/>
      <c r="AS19" s="627"/>
      <c r="AT19" s="195" t="s">
        <v>47</v>
      </c>
      <c r="AU19" s="626"/>
      <c r="AV19" s="627"/>
      <c r="AX19" s="626"/>
      <c r="AY19" s="627"/>
      <c r="BA19" s="298" t="str">
        <f>'ENS STOWAGE LATERAL'!D4</f>
        <v>A2017</v>
      </c>
      <c r="BB19" s="165">
        <f>'ENS STOWAGE LATERAL'!E4</f>
        <v>0.10338050000000001</v>
      </c>
      <c r="BD19" s="626"/>
      <c r="BE19" s="627"/>
      <c r="BG19" s="626"/>
      <c r="BH19" s="627"/>
      <c r="BJ19" s="626"/>
      <c r="BK19" s="627"/>
      <c r="BM19" s="626"/>
      <c r="BN19" s="627"/>
      <c r="BO19" s="195" t="s">
        <v>47</v>
      </c>
      <c r="BP19" s="626"/>
      <c r="BQ19" s="627"/>
      <c r="BS19" s="626"/>
      <c r="BT19" s="627"/>
      <c r="BV19" s="626"/>
      <c r="BW19" s="627"/>
      <c r="BY19" s="626"/>
      <c r="BZ19" s="627"/>
      <c r="CB19" s="626"/>
      <c r="CC19" s="627"/>
      <c r="CE19" s="626"/>
      <c r="CF19" s="627"/>
      <c r="CH19" s="626"/>
      <c r="CI19" s="627"/>
      <c r="CK19" s="626"/>
      <c r="CL19" s="627"/>
    </row>
    <row r="20" spans="1:90" s="492" customFormat="1" ht="43.2" x14ac:dyDescent="0.3">
      <c r="A20" s="774" t="s">
        <v>252</v>
      </c>
      <c r="B20" s="774">
        <f>SUM(I20,L20,O20,R20,U20,X20,AA20,AD20,AG20,AJ20,AM20,AP20,AS20,AV20,AY20,BB20,BE20,BH20,BK20,BN20,BQ20,BT20,BW20,BZ20,CC20,CF20,CI20,CL20)</f>
        <v>7.2109999999999985</v>
      </c>
      <c r="C20" s="922" t="s">
        <v>303</v>
      </c>
      <c r="D20" s="922" t="s">
        <v>307</v>
      </c>
      <c r="E20" s="922" t="str">
        <f t="shared" si="2"/>
        <v>EU28 AlCu4Mg1  sheet</v>
      </c>
      <c r="F20" s="922" t="s">
        <v>305</v>
      </c>
      <c r="G20" s="922" t="s">
        <v>306</v>
      </c>
      <c r="H20" s="457" t="str">
        <f>FAUTEUIL!D5</f>
        <v>A2024</v>
      </c>
      <c r="I20" s="457">
        <f>FAUTEUIL!E5</f>
        <v>5.6589999999999989</v>
      </c>
      <c r="J20" s="160"/>
      <c r="K20" s="521"/>
      <c r="L20" s="160"/>
      <c r="N20" s="521" t="str">
        <f>TETIERE!D6</f>
        <v>A2024</v>
      </c>
      <c r="O20" s="160">
        <f>TETIERE!E6</f>
        <v>2.9000000000000001E-2</v>
      </c>
      <c r="P20" s="457"/>
      <c r="Q20" s="521" t="str">
        <f>'ENS TABLETTE COCKTAIL'!D5</f>
        <v>A2024</v>
      </c>
      <c r="R20" s="160">
        <f>'ENS TABLETTE COCKTAIL'!E5</f>
        <v>8.4000000000000005E-2</v>
      </c>
      <c r="S20" s="457"/>
      <c r="T20" s="521" t="str">
        <f>'ENS TABLETTE REPAS'!D5</f>
        <v>A2024</v>
      </c>
      <c r="U20" s="108">
        <f>'ENS TABLETTE REPAS'!E5</f>
        <v>1.2590000000000001</v>
      </c>
      <c r="V20" s="457"/>
      <c r="W20" s="521"/>
      <c r="X20" s="160"/>
      <c r="Z20" s="521"/>
      <c r="AA20" s="564"/>
      <c r="AC20" s="592"/>
      <c r="AD20" s="564"/>
      <c r="AE20" s="457" t="s">
        <v>252</v>
      </c>
      <c r="AF20" s="592"/>
      <c r="AG20" s="564"/>
      <c r="AI20" s="592"/>
      <c r="AJ20" s="564"/>
      <c r="AL20" s="592"/>
      <c r="AM20" s="564"/>
      <c r="AO20" s="521" t="str">
        <f>'ACCOUDOIR ALLEE'!D5</f>
        <v>A2024</v>
      </c>
      <c r="AP20" s="108">
        <f>'ACCOUDOIR ALLEE'!E5</f>
        <v>0.18</v>
      </c>
      <c r="AR20" s="592"/>
      <c r="AS20" s="564"/>
      <c r="AT20" s="457" t="s">
        <v>252</v>
      </c>
      <c r="AU20" s="592"/>
      <c r="AV20" s="564"/>
      <c r="AX20" s="592"/>
      <c r="AY20" s="564"/>
      <c r="BA20" s="592"/>
      <c r="BB20" s="564"/>
      <c r="BD20" s="592"/>
      <c r="BE20" s="564"/>
      <c r="BG20" s="592"/>
      <c r="BH20" s="564"/>
      <c r="BJ20" s="592"/>
      <c r="BK20" s="564"/>
      <c r="BM20" s="592"/>
      <c r="BN20" s="564"/>
      <c r="BO20" s="457" t="s">
        <v>252</v>
      </c>
      <c r="BP20" s="592"/>
      <c r="BQ20" s="564"/>
      <c r="BS20" s="592"/>
      <c r="BT20" s="564"/>
      <c r="BV20" s="592"/>
      <c r="BW20" s="564"/>
      <c r="BY20" s="592"/>
      <c r="BZ20" s="564"/>
      <c r="CB20" s="592"/>
      <c r="CC20" s="564"/>
      <c r="CE20" s="592"/>
      <c r="CF20" s="564"/>
      <c r="CH20" s="592"/>
      <c r="CI20" s="564"/>
      <c r="CK20" s="592"/>
      <c r="CL20" s="564"/>
    </row>
    <row r="21" spans="1:90" s="490" customFormat="1" ht="43.2" x14ac:dyDescent="0.3">
      <c r="A21" s="795" t="s">
        <v>258</v>
      </c>
      <c r="B21" s="795">
        <f>SUM(I21,L21,O21,R21,U21,X21,AA21,AD21,AG21,AJ21,AM21,AP21,AS21,AV21,AY21,BB21,BE21,BH21,BK21,BN21,BQ21,BT21,BW21,BZ21,CC21,CF21,CI21,CL21)</f>
        <v>3.3000000000000002E-2</v>
      </c>
      <c r="C21" s="923" t="s">
        <v>303</v>
      </c>
      <c r="D21" s="923" t="s">
        <v>307</v>
      </c>
      <c r="E21" s="923" t="str">
        <f t="shared" si="2"/>
        <v>EU28 AlCu4Mg1  sheet</v>
      </c>
      <c r="F21" s="923" t="s">
        <v>305</v>
      </c>
      <c r="G21" s="923" t="s">
        <v>306</v>
      </c>
      <c r="H21" s="458"/>
      <c r="I21" s="458"/>
      <c r="J21" s="523"/>
      <c r="K21" s="522"/>
      <c r="L21" s="523"/>
      <c r="M21" s="458"/>
      <c r="N21" s="522"/>
      <c r="O21" s="523"/>
      <c r="P21" s="458"/>
      <c r="Q21" s="522"/>
      <c r="R21" s="523"/>
      <c r="S21" s="458"/>
      <c r="T21" s="522" t="str">
        <f>'ENS TABLETTE REPAS'!D6</f>
        <v>A2075</v>
      </c>
      <c r="U21" s="523">
        <f>'ENS TABLETTE REPAS'!E6</f>
        <v>3.3000000000000002E-2</v>
      </c>
      <c r="W21" s="522"/>
      <c r="X21" s="523"/>
      <c r="Z21" s="522"/>
      <c r="AA21" s="565"/>
      <c r="AC21" s="593"/>
      <c r="AD21" s="565"/>
      <c r="AE21" s="458" t="s">
        <v>258</v>
      </c>
      <c r="AF21" s="522"/>
      <c r="AG21" s="523"/>
      <c r="AI21" s="593"/>
      <c r="AJ21" s="565"/>
      <c r="AL21" s="593"/>
      <c r="AM21" s="565"/>
      <c r="AO21" s="593"/>
      <c r="AP21" s="565"/>
      <c r="AR21" s="593"/>
      <c r="AS21" s="565"/>
      <c r="AT21" s="458" t="s">
        <v>258</v>
      </c>
      <c r="AU21" s="593"/>
      <c r="AV21" s="565"/>
      <c r="AX21" s="593"/>
      <c r="AY21" s="565"/>
      <c r="BA21" s="593"/>
      <c r="BB21" s="565"/>
      <c r="BD21" s="593"/>
      <c r="BE21" s="565"/>
      <c r="BG21" s="593"/>
      <c r="BH21" s="565"/>
      <c r="BJ21" s="593"/>
      <c r="BK21" s="565"/>
      <c r="BM21" s="593"/>
      <c r="BN21" s="565"/>
      <c r="BO21" s="458" t="s">
        <v>258</v>
      </c>
      <c r="BP21" s="593"/>
      <c r="BQ21" s="565"/>
      <c r="BS21" s="593"/>
      <c r="BT21" s="565"/>
      <c r="BV21" s="593"/>
      <c r="BW21" s="565"/>
      <c r="BY21" s="593"/>
      <c r="BZ21" s="565"/>
      <c r="CB21" s="593"/>
      <c r="CC21" s="565"/>
      <c r="CE21" s="593"/>
      <c r="CF21" s="565"/>
      <c r="CH21" s="593"/>
      <c r="CI21" s="565"/>
      <c r="CK21" s="593"/>
      <c r="CL21" s="565"/>
    </row>
    <row r="22" spans="1:90" s="486" customFormat="1" ht="57.6" x14ac:dyDescent="0.3">
      <c r="A22" s="775" t="s">
        <v>91</v>
      </c>
      <c r="B22" s="775">
        <f>SUM(I22,L22,O22,R22,U22,X22,AA22,AD22,AG22,AJ22,AM22,AP22,AS22,AV22,AY22,BB22,BE22,BH22,BK22,BN22,BQ22,BT22,BW22,BZ22,CC22,CF22,CI22,CL22)</f>
        <v>12.003004800000001</v>
      </c>
      <c r="C22" s="924" t="s">
        <v>308</v>
      </c>
      <c r="D22" s="924" t="s">
        <v>309</v>
      </c>
      <c r="E22" s="924" t="str">
        <f t="shared" si="2"/>
        <v>EU28: AlMg4.5 sheet</v>
      </c>
      <c r="F22" s="924" t="s">
        <v>310</v>
      </c>
      <c r="G22" s="924" t="s">
        <v>306</v>
      </c>
      <c r="H22" s="459" t="str">
        <f>FAUTEUIL!D6</f>
        <v>A5086</v>
      </c>
      <c r="I22" s="495">
        <f>FAUTEUIL!E6</f>
        <v>0.45799999999999996</v>
      </c>
      <c r="J22" s="305"/>
      <c r="K22" s="524"/>
      <c r="L22" s="305"/>
      <c r="M22" s="459"/>
      <c r="N22" s="524"/>
      <c r="O22" s="305"/>
      <c r="P22" s="459"/>
      <c r="Q22" s="524"/>
      <c r="R22" s="305"/>
      <c r="S22" s="459"/>
      <c r="T22" s="524"/>
      <c r="U22" s="305"/>
      <c r="W22" s="524" t="str">
        <f>'STOWAGE ASSEMBLE AVEC PORTE'!D5</f>
        <v>A5086</v>
      </c>
      <c r="X22" s="561">
        <f>'STOWAGE ASSEMBLE AVEC PORTE'!E5</f>
        <v>2.4569999999999999</v>
      </c>
      <c r="Z22" s="524" t="str">
        <f>'SUPPORT ECRAN ASSEMBLE'!D5</f>
        <v>A5086</v>
      </c>
      <c r="AA22" s="561">
        <f>'SUPPORT ECRAN ASSEMBLE'!E5</f>
        <v>0.50600000000000001</v>
      </c>
      <c r="AB22" s="459"/>
      <c r="AC22" s="524" t="str">
        <f>'RENFORT TUBULAIRE'!D6</f>
        <v>A5086</v>
      </c>
      <c r="AD22" s="561">
        <f>'RENFORT TUBULAIRE'!E6</f>
        <v>0.93100000000000016</v>
      </c>
      <c r="AE22" s="459" t="s">
        <v>91</v>
      </c>
      <c r="AF22" s="524" t="str">
        <f>'HABILLAGE SOUS FAUTEUIL'!D5</f>
        <v>A5086</v>
      </c>
      <c r="AG22" s="561">
        <f>'HABILLAGE SOUS FAUTEUIL'!E5</f>
        <v>1.03</v>
      </c>
      <c r="AI22" s="618"/>
      <c r="AJ22" s="619"/>
      <c r="AL22" s="524" t="str">
        <f>'ENSEMBLE EQUIPEMENTS LATERALES'!D5</f>
        <v>A5086</v>
      </c>
      <c r="AM22" s="561">
        <f>'ENSEMBLE EQUIPEMENTS LATERALES'!E5</f>
        <v>3.6360047999999989</v>
      </c>
      <c r="AO22" s="524" t="str">
        <f>'ACCOUDOIR ALLEE'!D6</f>
        <v>A5086</v>
      </c>
      <c r="AP22" s="629">
        <f>'ACCOUDOIR ALLEE'!E6</f>
        <v>0.316</v>
      </c>
      <c r="AR22" s="524" t="str">
        <f>'BUMPER VERSION PORTE'!D5</f>
        <v>A5086</v>
      </c>
      <c r="AS22" s="305">
        <f>'BUMPER VERSION PORTE'!E5</f>
        <v>2.4E-2</v>
      </c>
      <c r="AT22" s="459" t="s">
        <v>91</v>
      </c>
      <c r="AU22" s="524" t="str">
        <f>'STRUCTURE OTTOMAN (horizontale)'!D4</f>
        <v>A5086</v>
      </c>
      <c r="AV22" s="305">
        <f>'STRUCTURE OTTOMAN (horizontale)'!E4</f>
        <v>1.9279999999999999</v>
      </c>
      <c r="AX22" s="524" t="str">
        <f>'SUPPORT EQUIPE'!D5</f>
        <v>A5086</v>
      </c>
      <c r="AY22" s="305">
        <f>'SUPPORT EQUIPE'!E5</f>
        <v>9.9000000000000005E-2</v>
      </c>
      <c r="BA22" s="524" t="str">
        <f>'ENS STOWAGE LATERAL'!D5</f>
        <v>A5086</v>
      </c>
      <c r="BB22" s="561">
        <f>'ENS STOWAGE LATERAL'!E5</f>
        <v>0.216</v>
      </c>
      <c r="BD22" s="524" t="str">
        <f>'MANCHETTE ACC MOBILE'!D5</f>
        <v>A5086</v>
      </c>
      <c r="BE22" s="561">
        <f>'MANCHETTE ACC MOBILE'!E5</f>
        <v>0.105</v>
      </c>
      <c r="BG22" s="524" t="str">
        <f>'MANCHETTE EQUIPEE'!D5</f>
        <v>A5086</v>
      </c>
      <c r="BH22" s="561">
        <f>'MANCHETTE EQUIPEE'!E5</f>
        <v>0.17</v>
      </c>
      <c r="BJ22" s="524" t="str">
        <f>'SUPPORT MANCHETTE EQUIPEE'!D5</f>
        <v>A5086</v>
      </c>
      <c r="BK22" s="305">
        <f>'SUPPORT MANCHETTE EQUIPEE'!E5</f>
        <v>0.11700000000000001</v>
      </c>
      <c r="BM22" s="524" t="str">
        <f>'SUPPORT NFC'!D5</f>
        <v>A5086</v>
      </c>
      <c r="BN22" s="305">
        <f>'SUPPORT NFC'!E5</f>
        <v>0.01</v>
      </c>
      <c r="BO22" s="459" t="s">
        <v>91</v>
      </c>
      <c r="BP22" s="618"/>
      <c r="BQ22" s="619"/>
      <c r="BS22" s="618"/>
      <c r="BT22" s="619"/>
      <c r="BV22" s="618"/>
      <c r="BW22" s="619"/>
      <c r="BY22" s="618"/>
      <c r="BZ22" s="619"/>
      <c r="CB22" s="618"/>
      <c r="CC22" s="619"/>
      <c r="CE22" s="618"/>
      <c r="CF22" s="619"/>
      <c r="CH22" s="618"/>
      <c r="CI22" s="619"/>
      <c r="CK22" s="618"/>
      <c r="CL22" s="619"/>
    </row>
    <row r="23" spans="1:90" s="482" customFormat="1" ht="57.6" x14ac:dyDescent="0.3">
      <c r="A23" s="804" t="s">
        <v>269</v>
      </c>
      <c r="B23" s="804">
        <f>SUM(I23,L23,O23,R23,U23,X23,AA23,AD23,AG23,AJ23,AM23,AP23,AS23,AV23,AY23,BB23,BE23,BH23,BK23,BN23,BQ23,BT23,BW23,BZ23,CC23,CF23,CI23,CL23)</f>
        <v>0.40400000000000003</v>
      </c>
      <c r="C23" s="914" t="s">
        <v>269</v>
      </c>
      <c r="D23" s="914" t="s">
        <v>311</v>
      </c>
      <c r="E23" s="914" t="str">
        <f t="shared" si="2"/>
        <v>DE: AlMgSi0,7 ingot (Al6062)
DE: AlMgSi1 ingot (Al6082)</v>
      </c>
      <c r="F23" s="914" t="s">
        <v>310</v>
      </c>
      <c r="G23" s="914" t="s">
        <v>306</v>
      </c>
      <c r="H23" s="460"/>
      <c r="I23" s="460"/>
      <c r="J23" s="526"/>
      <c r="K23" s="525"/>
      <c r="L23" s="526"/>
      <c r="M23" s="460"/>
      <c r="N23" s="525"/>
      <c r="O23" s="526"/>
      <c r="P23" s="460"/>
      <c r="Q23" s="525"/>
      <c r="R23" s="526"/>
      <c r="S23" s="460"/>
      <c r="T23" s="525"/>
      <c r="U23" s="526"/>
      <c r="W23" s="525"/>
      <c r="X23" s="526"/>
      <c r="Z23" s="525"/>
      <c r="AA23" s="526"/>
      <c r="AB23" s="460"/>
      <c r="AC23" s="525" t="str">
        <f>'RENFORT TUBULAIRE'!D5</f>
        <v>A6060</v>
      </c>
      <c r="AD23" s="594">
        <f>'RENFORT TUBULAIRE'!E5</f>
        <v>0.40400000000000003</v>
      </c>
      <c r="AE23" s="460" t="s">
        <v>269</v>
      </c>
      <c r="AF23" s="525"/>
      <c r="AG23" s="526"/>
      <c r="AI23" s="620"/>
      <c r="AJ23" s="621"/>
      <c r="AL23" s="620"/>
      <c r="AM23" s="621"/>
      <c r="AO23" s="620"/>
      <c r="AP23" s="621"/>
      <c r="AR23" s="620"/>
      <c r="AS23" s="621"/>
      <c r="AT23" s="460" t="s">
        <v>269</v>
      </c>
      <c r="AU23" s="620"/>
      <c r="AV23" s="621"/>
      <c r="AX23" s="620"/>
      <c r="AY23" s="621"/>
      <c r="BA23" s="620"/>
      <c r="BB23" s="621"/>
      <c r="BD23" s="620"/>
      <c r="BE23" s="621"/>
      <c r="BG23" s="620"/>
      <c r="BH23" s="621"/>
      <c r="BJ23" s="620"/>
      <c r="BK23" s="621"/>
      <c r="BM23" s="620"/>
      <c r="BN23" s="621"/>
      <c r="BO23" s="460" t="s">
        <v>269</v>
      </c>
      <c r="BP23" s="620"/>
      <c r="BQ23" s="621"/>
      <c r="BS23" s="620"/>
      <c r="BT23" s="621"/>
      <c r="BV23" s="620"/>
      <c r="BW23" s="621"/>
      <c r="BY23" s="620"/>
      <c r="BZ23" s="621"/>
      <c r="CB23" s="620"/>
      <c r="CC23" s="621"/>
      <c r="CE23" s="620"/>
      <c r="CF23" s="621"/>
      <c r="CH23" s="620"/>
      <c r="CI23" s="621"/>
      <c r="CK23" s="620"/>
      <c r="CL23" s="621"/>
    </row>
    <row r="24" spans="1:90" s="478" customFormat="1" ht="86.4" x14ac:dyDescent="0.3">
      <c r="A24" s="807" t="s">
        <v>312</v>
      </c>
      <c r="B24" s="807">
        <f>SUM(AJ24,AP24,BE24,BT24,BW24)</f>
        <v>10.7460895</v>
      </c>
      <c r="C24" s="925" t="s">
        <v>313</v>
      </c>
      <c r="D24" s="973" t="s">
        <v>304</v>
      </c>
      <c r="E24" s="925" t="str">
        <f t="shared" si="2"/>
        <v>EU28: AlCu4MgSi extrusion profile
ou EU28: AlCU4MgTi ingot
ou EU28 AlCu4Mg1  sheet</v>
      </c>
      <c r="F24" s="973" t="s">
        <v>314</v>
      </c>
      <c r="G24" s="973" t="s">
        <v>306</v>
      </c>
      <c r="H24" s="461"/>
      <c r="I24" s="461"/>
      <c r="J24" s="528"/>
      <c r="K24" s="527"/>
      <c r="L24" s="528"/>
      <c r="M24" s="461"/>
      <c r="N24" s="527"/>
      <c r="O24" s="528"/>
      <c r="P24" s="461"/>
      <c r="Q24" s="527"/>
      <c r="R24" s="528"/>
      <c r="S24" s="461"/>
      <c r="T24" s="527"/>
      <c r="U24" s="528"/>
      <c r="W24" s="527"/>
      <c r="X24" s="528"/>
      <c r="Z24" s="527"/>
      <c r="AA24" s="566"/>
      <c r="AC24" s="595"/>
      <c r="AD24" s="566"/>
      <c r="AE24" s="461" t="s">
        <v>60</v>
      </c>
      <c r="AF24" s="595"/>
      <c r="AG24" s="566"/>
      <c r="AI24" s="527" t="str">
        <f>'ENSEMBLE PALETTE OPTIMISEE'!D5</f>
        <v>ALU</v>
      </c>
      <c r="AJ24" s="622">
        <f>'ENSEMBLE PALETTE OPTIMISEE'!E5</f>
        <v>0.2145707</v>
      </c>
      <c r="AL24" s="595"/>
      <c r="AM24" s="566"/>
      <c r="AO24" s="527" t="str">
        <f>'ACCOUDOIR ALLEE'!D7</f>
        <v>ALU</v>
      </c>
      <c r="AP24" s="630">
        <f>'ACCOUDOIR ALLEE'!E7</f>
        <v>0.1175071</v>
      </c>
      <c r="AR24" s="595"/>
      <c r="AS24" s="566"/>
      <c r="AT24" s="461" t="s">
        <v>60</v>
      </c>
      <c r="AU24" s="595"/>
      <c r="AV24" s="566"/>
      <c r="AX24" s="595"/>
      <c r="AY24" s="566"/>
      <c r="BA24" s="595"/>
      <c r="BB24" s="566"/>
      <c r="BD24" s="527" t="str">
        <f>'MANCHETTE ACC MOBILE'!D6</f>
        <v>ALU</v>
      </c>
      <c r="BE24" s="528">
        <f>'MANCHETTE ACC MOBILE'!E6</f>
        <v>1E-3</v>
      </c>
      <c r="BG24" s="595"/>
      <c r="BH24" s="566"/>
      <c r="BJ24" s="595"/>
      <c r="BK24" s="566"/>
      <c r="BM24" s="595"/>
      <c r="BN24" s="566"/>
      <c r="BO24" s="461" t="s">
        <v>60</v>
      </c>
      <c r="BP24" s="595"/>
      <c r="BQ24" s="566"/>
      <c r="BS24" s="527" t="str">
        <f>'ENS STRUCTURE FIXE'!D5</f>
        <v>ALU</v>
      </c>
      <c r="BT24" s="528">
        <f>'ENS STRUCTURE FIXE'!E5</f>
        <v>3.541011699999999</v>
      </c>
      <c r="BV24" s="527" t="str">
        <f>'ENS PORTE'!D4</f>
        <v>ALU</v>
      </c>
      <c r="BW24" s="528">
        <f>'ENS PORTE'!E4</f>
        <v>6.8720000000000017</v>
      </c>
      <c r="BY24" s="595"/>
      <c r="BZ24" s="566"/>
      <c r="CB24" s="595"/>
      <c r="CC24" s="566"/>
      <c r="CE24" s="595"/>
      <c r="CF24" s="566"/>
      <c r="CH24" s="595"/>
      <c r="CI24" s="566"/>
      <c r="CK24" s="595"/>
      <c r="CL24" s="566"/>
    </row>
    <row r="25" spans="1:90" s="503" customFormat="1" ht="43.2" x14ac:dyDescent="0.3">
      <c r="A25" s="915" t="s">
        <v>245</v>
      </c>
      <c r="B25" s="915">
        <f t="shared" ref="B25:B50" si="3">SUM(I25,L25,O25,R25,U25,X25,AA25,AD25,AG25,AJ25,AM25,AP25,AS25,AV25,AY25,BB25,BE25,BH25,BK25,BN25,BQ25,BT25,BW25,BZ25,CC25,CF25,CI25,CL25)</f>
        <v>6.0000000000000001E-3</v>
      </c>
      <c r="C25" s="926" t="s">
        <v>315</v>
      </c>
      <c r="D25" s="926" t="s">
        <v>316</v>
      </c>
      <c r="E25" s="926" t="str">
        <f t="shared" si="2"/>
        <v>EU28: Copper sheet mix (Europe 2015)</v>
      </c>
      <c r="F25" s="926" t="s">
        <v>317</v>
      </c>
      <c r="G25" s="926" t="s">
        <v>318</v>
      </c>
      <c r="H25" s="462"/>
      <c r="I25" s="462"/>
      <c r="J25" s="530"/>
      <c r="K25" s="529"/>
      <c r="L25" s="530"/>
      <c r="M25" s="462"/>
      <c r="N25" s="529"/>
      <c r="O25" s="530"/>
      <c r="P25" s="462"/>
      <c r="Q25" s="529"/>
      <c r="R25" s="530"/>
      <c r="S25" s="462"/>
      <c r="T25" s="529"/>
      <c r="U25" s="530"/>
      <c r="W25" s="529"/>
      <c r="X25" s="530"/>
      <c r="Z25" s="529"/>
      <c r="AA25" s="530"/>
      <c r="AB25" s="462"/>
      <c r="AC25" s="529"/>
      <c r="AD25" s="530"/>
      <c r="AE25" s="462" t="s">
        <v>245</v>
      </c>
      <c r="AF25" s="615"/>
      <c r="AG25" s="616"/>
      <c r="AI25" s="615"/>
      <c r="AJ25" s="616"/>
      <c r="AL25" s="615"/>
      <c r="AM25" s="616"/>
      <c r="AO25" s="615"/>
      <c r="AP25" s="616"/>
      <c r="AR25" s="529" t="str">
        <f>'BUMPER VERSION PORTE'!D6</f>
        <v>ALLIAGE CU</v>
      </c>
      <c r="AS25" s="530">
        <f>'BUMPER VERSION PORTE'!E6</f>
        <v>6.0000000000000001E-3</v>
      </c>
      <c r="AT25" s="462" t="s">
        <v>245</v>
      </c>
      <c r="AU25" s="615"/>
      <c r="AV25" s="616"/>
      <c r="AX25" s="615"/>
      <c r="AY25" s="616"/>
      <c r="BA25" s="615"/>
      <c r="BB25" s="616"/>
      <c r="BD25" s="615"/>
      <c r="BE25" s="616"/>
      <c r="BG25" s="615"/>
      <c r="BH25" s="616"/>
      <c r="BJ25" s="615"/>
      <c r="BK25" s="616"/>
      <c r="BM25" s="615"/>
      <c r="BN25" s="616"/>
      <c r="BO25" s="462" t="s">
        <v>245</v>
      </c>
      <c r="BP25" s="615"/>
      <c r="BQ25" s="616"/>
      <c r="BS25" s="615"/>
      <c r="BT25" s="616"/>
      <c r="BV25" s="615"/>
      <c r="BW25" s="616"/>
      <c r="BY25" s="615"/>
      <c r="BZ25" s="616"/>
      <c r="CB25" s="615"/>
      <c r="CC25" s="616"/>
      <c r="CE25" s="615"/>
      <c r="CF25" s="616"/>
      <c r="CH25" s="615"/>
      <c r="CI25" s="616"/>
      <c r="CK25" s="615"/>
      <c r="CL25" s="616"/>
    </row>
    <row r="26" spans="1:90" s="156" customFormat="1" ht="57.6" x14ac:dyDescent="0.3">
      <c r="A26" s="371" t="s">
        <v>244</v>
      </c>
      <c r="B26" s="371">
        <f t="shared" si="3"/>
        <v>0.16883619999999999</v>
      </c>
      <c r="C26" s="927" t="s">
        <v>319</v>
      </c>
      <c r="D26" s="927" t="s">
        <v>320</v>
      </c>
      <c r="E26" s="927" t="str">
        <f t="shared" si="2"/>
        <v>EU28: Stainless steel cold rolled coil 304 (18,5% Cr, 9% Ni)</v>
      </c>
      <c r="F26" s="927" t="s">
        <v>321</v>
      </c>
      <c r="G26" s="927" t="s">
        <v>318</v>
      </c>
      <c r="H26" s="157" t="str">
        <f>FAUTEUIL!D8</f>
        <v>INOX</v>
      </c>
      <c r="I26" s="396">
        <f>FAUTEUIL!E8</f>
        <v>4.5000000000000005E-2</v>
      </c>
      <c r="J26" s="248"/>
      <c r="K26" s="300"/>
      <c r="L26" s="248"/>
      <c r="M26" s="157"/>
      <c r="N26" s="300" t="str">
        <f>TETIERE!D7</f>
        <v>INOX</v>
      </c>
      <c r="O26" s="248">
        <f>TETIERE!E7</f>
        <v>1E-3</v>
      </c>
      <c r="P26" s="157"/>
      <c r="Q26" s="300" t="str">
        <f>'ENS TABLETTE COCKTAIL'!D6</f>
        <v>INOX</v>
      </c>
      <c r="R26" s="248">
        <f>'ENS TABLETTE COCKTAIL'!E6</f>
        <v>1.2E-2</v>
      </c>
      <c r="S26" s="157"/>
      <c r="T26" s="300" t="str">
        <f>'ENS TABLETTE REPAS'!D7</f>
        <v>INOX</v>
      </c>
      <c r="U26" s="248">
        <f>'ENS TABLETTE REPAS'!E7</f>
        <v>1.4E-2</v>
      </c>
      <c r="V26" s="157"/>
      <c r="W26" s="300" t="str">
        <f>'STOWAGE ASSEMBLE AVEC PORTE'!D7</f>
        <v>INOX</v>
      </c>
      <c r="X26" s="248">
        <f>'STOWAGE ASSEMBLE AVEC PORTE'!E7</f>
        <v>9.2800000000000001E-3</v>
      </c>
      <c r="Z26" s="300" t="str">
        <f>'SUPPORT ECRAN ASSEMBLE'!D6</f>
        <v>INOX</v>
      </c>
      <c r="AA26" s="248">
        <f>'SUPPORT ECRAN ASSEMBLE'!E6</f>
        <v>1.4E-2</v>
      </c>
      <c r="AB26" s="157"/>
      <c r="AC26" s="300"/>
      <c r="AD26" s="248"/>
      <c r="AE26" s="157" t="s">
        <v>244</v>
      </c>
      <c r="AF26" s="617"/>
      <c r="AG26" s="158"/>
      <c r="AI26" s="300" t="str">
        <f>'ENSEMBLE PALETTE OPTIMISEE'!D6</f>
        <v>INOX</v>
      </c>
      <c r="AJ26" s="248">
        <f>'ENSEMBLE PALETTE OPTIMISEE'!E6</f>
        <v>2.3743000000000004E-2</v>
      </c>
      <c r="AL26" s="617"/>
      <c r="AM26" s="158"/>
      <c r="AO26" s="300" t="str">
        <f>'ACCOUDOIR ALLEE'!D8</f>
        <v>INOX</v>
      </c>
      <c r="AP26" s="631">
        <f>'ACCOUDOIR ALLEE'!E8</f>
        <v>1.8054000000000001E-2</v>
      </c>
      <c r="AR26" s="617"/>
      <c r="AS26" s="158"/>
      <c r="AT26" s="157" t="s">
        <v>244</v>
      </c>
      <c r="AU26" s="617"/>
      <c r="AV26" s="158"/>
      <c r="AX26" s="617"/>
      <c r="AY26" s="158"/>
      <c r="BA26" s="617"/>
      <c r="BB26" s="158"/>
      <c r="BD26" s="617"/>
      <c r="BE26" s="158"/>
      <c r="BG26" s="617"/>
      <c r="BH26" s="158"/>
      <c r="BJ26" s="617"/>
      <c r="BK26" s="158"/>
      <c r="BM26" s="617"/>
      <c r="BN26" s="158"/>
      <c r="BO26" s="157" t="s">
        <v>244</v>
      </c>
      <c r="BP26" s="617"/>
      <c r="BQ26" s="158"/>
      <c r="BS26" s="300" t="str">
        <f>'ENS STRUCTURE FIXE'!D6</f>
        <v>INOX</v>
      </c>
      <c r="BT26" s="248">
        <f>'ENS STRUCTURE FIXE'!E6</f>
        <v>2.7E-2</v>
      </c>
      <c r="BV26" s="300" t="str">
        <f>'ENS PORTE'!D5</f>
        <v>INOX</v>
      </c>
      <c r="BW26" s="248">
        <f>'ENS PORTE'!E5</f>
        <v>4.7591999999999999E-3</v>
      </c>
      <c r="BY26" s="617"/>
      <c r="BZ26" s="158"/>
      <c r="CB26" s="617"/>
      <c r="CC26" s="158"/>
      <c r="CE26" s="617"/>
      <c r="CF26" s="158"/>
      <c r="CH26" s="617"/>
      <c r="CI26" s="158"/>
      <c r="CK26" s="617"/>
      <c r="CL26" s="158"/>
    </row>
    <row r="27" spans="1:90" s="506" customFormat="1" ht="57.6" x14ac:dyDescent="0.3">
      <c r="A27" s="372" t="s">
        <v>253</v>
      </c>
      <c r="B27" s="372">
        <f t="shared" si="3"/>
        <v>6.9298465999999967</v>
      </c>
      <c r="C27" s="928" t="s">
        <v>322</v>
      </c>
      <c r="D27" s="928" t="s">
        <v>323</v>
      </c>
      <c r="E27" s="928" t="str">
        <f t="shared" si="2"/>
        <v>EU: Steel tinplated</v>
      </c>
      <c r="F27" s="928" t="s">
        <v>321</v>
      </c>
      <c r="G27" s="928" t="s">
        <v>318</v>
      </c>
      <c r="H27" s="365" t="str">
        <f>FAUTEUIL!D9</f>
        <v>ACIER</v>
      </c>
      <c r="I27" s="365">
        <f>FAUTEUIL!E9</f>
        <v>1.6869999999999981</v>
      </c>
      <c r="J27" s="393"/>
      <c r="K27" s="301" t="str">
        <f>COQUE!D8</f>
        <v>ACIER</v>
      </c>
      <c r="L27" s="393">
        <f>COQUE!E8</f>
        <v>0.49600000000000005</v>
      </c>
      <c r="M27" s="365"/>
      <c r="N27" s="301" t="str">
        <f>TETIERE!D8</f>
        <v>ACIER</v>
      </c>
      <c r="O27" s="393">
        <f>TETIERE!E8</f>
        <v>0.3165</v>
      </c>
      <c r="P27" s="365"/>
      <c r="Q27" s="301" t="str">
        <f>'ENS TABLETTE COCKTAIL'!D7</f>
        <v>ACIER</v>
      </c>
      <c r="R27" s="393">
        <f>'ENS TABLETTE COCKTAIL'!E7</f>
        <v>1.1329999999999998</v>
      </c>
      <c r="S27" s="365"/>
      <c r="T27" s="301" t="str">
        <f>'ENS TABLETTE REPAS'!D8</f>
        <v>ACIER</v>
      </c>
      <c r="U27" s="393">
        <f>'ENS TABLETTE REPAS'!E8</f>
        <v>0.11650000000000002</v>
      </c>
      <c r="W27" s="301" t="str">
        <f>'STOWAGE ASSEMBLE AVEC PORTE'!D8</f>
        <v>ACIER</v>
      </c>
      <c r="X27" s="393">
        <f>'STOWAGE ASSEMBLE AVEC PORTE'!E8</f>
        <v>9.4358100000000014E-2</v>
      </c>
      <c r="Z27" s="301" t="str">
        <f>'SUPPORT ECRAN ASSEMBLE'!D7</f>
        <v>ACIER</v>
      </c>
      <c r="AA27" s="393">
        <f>'SUPPORT ECRAN ASSEMBLE'!E7</f>
        <v>5.7360000000000001E-2</v>
      </c>
      <c r="AB27" s="365"/>
      <c r="AC27" s="301" t="str">
        <f>'RENFORT TUBULAIRE'!D7</f>
        <v>ACIER</v>
      </c>
      <c r="AD27" s="393">
        <f>'RENFORT TUBULAIRE'!E7</f>
        <v>3.0000000000000001E-3</v>
      </c>
      <c r="AE27" s="365" t="s">
        <v>253</v>
      </c>
      <c r="AF27" s="301" t="str">
        <f>'HABILLAGE SOUS FAUTEUIL'!D6</f>
        <v>ACIER</v>
      </c>
      <c r="AG27" s="393">
        <f>'HABILLAGE SOUS FAUTEUIL'!E6</f>
        <v>2.70916E-2</v>
      </c>
      <c r="AI27" s="301" t="str">
        <f>'ENSEMBLE PALETTE OPTIMISEE'!D7</f>
        <v>ACIER</v>
      </c>
      <c r="AJ27" s="623">
        <f>'ENSEMBLE PALETTE OPTIMISEE'!E7</f>
        <v>0.58000000000000007</v>
      </c>
      <c r="AL27" s="301" t="str">
        <f>'ENSEMBLE EQUIPEMENTS LATERALES'!D6</f>
        <v>ACIER</v>
      </c>
      <c r="AM27" s="393">
        <f>'ENSEMBLE EQUIPEMENTS LATERALES'!E6</f>
        <v>9.9644900000000022E-2</v>
      </c>
      <c r="AO27" s="301" t="str">
        <f>'ACCOUDOIR ALLEE'!D9</f>
        <v>ACIER</v>
      </c>
      <c r="AP27" s="623">
        <f>'ACCOUDOIR ALLEE'!E9</f>
        <v>0.7096766000000001</v>
      </c>
      <c r="AR27" s="301" t="str">
        <f>'BUMPER VERSION PORTE'!D7</f>
        <v>ACIER</v>
      </c>
      <c r="AS27" s="393">
        <f>'BUMPER VERSION PORTE'!E7</f>
        <v>2.4E-2</v>
      </c>
      <c r="AT27" s="365" t="s">
        <v>253</v>
      </c>
      <c r="AU27" s="301" t="str">
        <f>'STRUCTURE OTTOMAN (horizontale)'!D5</f>
        <v>ACIER</v>
      </c>
      <c r="AV27" s="393">
        <f>'STRUCTURE OTTOMAN (horizontale)'!E5</f>
        <v>6.6644300000000004E-2</v>
      </c>
      <c r="AX27" s="301" t="str">
        <f>'SUPPORT EQUIPE'!D6</f>
        <v>ACIER</v>
      </c>
      <c r="AY27" s="393">
        <f>'SUPPORT EQUIPE'!E6</f>
        <v>3.0000000000000001E-3</v>
      </c>
      <c r="BA27" s="301" t="str">
        <f>'ENS STOWAGE LATERAL'!D6</f>
        <v>ACIER</v>
      </c>
      <c r="BB27" s="393">
        <f>'ENS STOWAGE LATERAL'!E6</f>
        <v>1.5198400000000001E-2</v>
      </c>
      <c r="BD27" s="632"/>
      <c r="BE27" s="633"/>
      <c r="BG27" s="301" t="str">
        <f>'MANCHETTE EQUIPEE'!D6</f>
        <v>ACIER</v>
      </c>
      <c r="BH27" s="393">
        <f>'MANCHETTE EQUIPEE'!E6</f>
        <v>1.91495E-2</v>
      </c>
      <c r="BJ27" s="301" t="str">
        <f>'SUPPORT MANCHETTE EQUIPEE'!D6</f>
        <v>ACIER</v>
      </c>
      <c r="BK27" s="393">
        <f>'SUPPORT MANCHETTE EQUIPEE'!E6</f>
        <v>6.0000000000000001E-3</v>
      </c>
      <c r="BM27" s="632"/>
      <c r="BN27" s="633"/>
      <c r="BO27" s="365" t="s">
        <v>253</v>
      </c>
      <c r="BP27" s="632"/>
      <c r="BQ27" s="633"/>
      <c r="BS27" s="301" t="str">
        <f>'ENS STRUCTURE FIXE'!D7</f>
        <v>ACIER</v>
      </c>
      <c r="BT27" s="393">
        <f>'ENS STRUCTURE FIXE'!E7</f>
        <v>1.4326470999999981</v>
      </c>
      <c r="BV27" s="301" t="str">
        <f>'ENS PORTE'!D6</f>
        <v>ACIER</v>
      </c>
      <c r="BW27" s="393">
        <f>'ENS PORTE'!E6</f>
        <v>4.3076099999999999E-2</v>
      </c>
      <c r="BY27" s="632"/>
      <c r="BZ27" s="633"/>
      <c r="CB27" s="632"/>
      <c r="CC27" s="633"/>
      <c r="CE27" s="632"/>
      <c r="CF27" s="633"/>
      <c r="CH27" s="632"/>
      <c r="CI27" s="633"/>
      <c r="CK27" s="632"/>
      <c r="CL27" s="633"/>
    </row>
    <row r="28" spans="1:90" s="507" customFormat="1" ht="57.6" x14ac:dyDescent="0.3">
      <c r="A28" s="373" t="s">
        <v>259</v>
      </c>
      <c r="B28" s="373">
        <f t="shared" si="3"/>
        <v>2.2000000000000002E-2</v>
      </c>
      <c r="C28" s="929" t="s">
        <v>322</v>
      </c>
      <c r="D28" s="929" t="s">
        <v>323</v>
      </c>
      <c r="E28" s="929" t="str">
        <f t="shared" si="2"/>
        <v>EU: Steel tinplated</v>
      </c>
      <c r="F28" s="929" t="s">
        <v>321</v>
      </c>
      <c r="G28" s="929" t="s">
        <v>318</v>
      </c>
      <c r="H28" s="366"/>
      <c r="I28" s="366"/>
      <c r="J28" s="403"/>
      <c r="K28" s="531"/>
      <c r="L28" s="403"/>
      <c r="M28" s="366"/>
      <c r="N28" s="531"/>
      <c r="O28" s="403"/>
      <c r="P28" s="366"/>
      <c r="Q28" s="531"/>
      <c r="R28" s="403"/>
      <c r="S28" s="366"/>
      <c r="T28" s="531"/>
      <c r="U28" s="403"/>
      <c r="W28" s="531"/>
      <c r="X28" s="403"/>
      <c r="Z28" s="567"/>
      <c r="AA28" s="568"/>
      <c r="AC28" s="567"/>
      <c r="AD28" s="568"/>
      <c r="AE28" s="366" t="s">
        <v>259</v>
      </c>
      <c r="AF28" s="567"/>
      <c r="AG28" s="568"/>
      <c r="AI28" s="567"/>
      <c r="AJ28" s="568"/>
      <c r="AL28" s="567"/>
      <c r="AM28" s="568"/>
      <c r="AO28" s="567"/>
      <c r="AP28" s="568"/>
      <c r="AR28" s="567"/>
      <c r="AS28" s="568"/>
      <c r="AT28" s="366" t="s">
        <v>259</v>
      </c>
      <c r="AU28" s="567"/>
      <c r="AV28" s="568"/>
      <c r="AX28" s="567"/>
      <c r="AY28" s="568"/>
      <c r="BA28" s="531" t="str">
        <f>'ENS STOWAGE LATERAL'!D7</f>
        <v>15CDV6</v>
      </c>
      <c r="BB28" s="403">
        <f>'ENS STOWAGE LATERAL'!E7</f>
        <v>2.2000000000000002E-2</v>
      </c>
      <c r="BD28" s="567"/>
      <c r="BE28" s="568"/>
      <c r="BG28" s="567"/>
      <c r="BH28" s="568"/>
      <c r="BJ28" s="567"/>
      <c r="BK28" s="568"/>
      <c r="BM28" s="567"/>
      <c r="BN28" s="568"/>
      <c r="BO28" s="366" t="s">
        <v>259</v>
      </c>
      <c r="BP28" s="567"/>
      <c r="BQ28" s="568"/>
      <c r="BS28" s="567"/>
      <c r="BT28" s="568"/>
      <c r="BV28" s="567"/>
      <c r="BW28" s="568"/>
      <c r="BY28" s="567"/>
      <c r="BZ28" s="568"/>
      <c r="CB28" s="567"/>
      <c r="CC28" s="568"/>
      <c r="CE28" s="567"/>
      <c r="CF28" s="568"/>
      <c r="CH28" s="567"/>
      <c r="CI28" s="568"/>
      <c r="CK28" s="567"/>
      <c r="CL28" s="568"/>
    </row>
    <row r="29" spans="1:90" s="476" customFormat="1" ht="57.6" x14ac:dyDescent="0.3">
      <c r="A29" s="374" t="s">
        <v>265</v>
      </c>
      <c r="B29" s="374">
        <f t="shared" si="3"/>
        <v>8.4000000000000005E-2</v>
      </c>
      <c r="C29" s="930" t="s">
        <v>322</v>
      </c>
      <c r="D29" s="930" t="s">
        <v>323</v>
      </c>
      <c r="E29" s="930" t="str">
        <f t="shared" si="2"/>
        <v>EU: Steel tinplated</v>
      </c>
      <c r="F29" s="930" t="s">
        <v>321</v>
      </c>
      <c r="G29" s="930" t="s">
        <v>318</v>
      </c>
      <c r="H29" s="367"/>
      <c r="I29" s="367"/>
      <c r="J29" s="533"/>
      <c r="K29" s="532"/>
      <c r="L29" s="533"/>
      <c r="M29" s="367"/>
      <c r="N29" s="532"/>
      <c r="O29" s="533"/>
      <c r="P29" s="367"/>
      <c r="Q29" s="532"/>
      <c r="R29" s="533"/>
      <c r="S29" s="367"/>
      <c r="T29" s="532"/>
      <c r="U29" s="533"/>
      <c r="W29" s="562"/>
      <c r="X29" s="563"/>
      <c r="Z29" s="562"/>
      <c r="AA29" s="563"/>
      <c r="AC29" s="562"/>
      <c r="AD29" s="563"/>
      <c r="AE29" s="367" t="s">
        <v>265</v>
      </c>
      <c r="AF29" s="562"/>
      <c r="AG29" s="563"/>
      <c r="AI29" s="532" t="str">
        <f>'ENSEMBLE PALETTE OPTIMISEE'!D8</f>
        <v>30NCD16</v>
      </c>
      <c r="AJ29" s="624">
        <f>'ENSEMBLE PALETTE OPTIMISEE'!E8</f>
        <v>5.7000000000000002E-2</v>
      </c>
      <c r="AL29" s="562"/>
      <c r="AM29" s="563"/>
      <c r="AO29" s="532" t="str">
        <f>'ACCOUDOIR ALLEE'!D10</f>
        <v>30NCD16</v>
      </c>
      <c r="AP29" s="624">
        <f>'ACCOUDOIR ALLEE'!E10</f>
        <v>2.7E-2</v>
      </c>
      <c r="AR29" s="562"/>
      <c r="AS29" s="563"/>
      <c r="AT29" s="367" t="s">
        <v>265</v>
      </c>
      <c r="AU29" s="562"/>
      <c r="AV29" s="563"/>
      <c r="AX29" s="562"/>
      <c r="AY29" s="563"/>
      <c r="BA29" s="562"/>
      <c r="BB29" s="563"/>
      <c r="BD29" s="562"/>
      <c r="BE29" s="563"/>
      <c r="BG29" s="562"/>
      <c r="BH29" s="563"/>
      <c r="BJ29" s="562"/>
      <c r="BK29" s="563"/>
      <c r="BM29" s="562"/>
      <c r="BN29" s="563"/>
      <c r="BO29" s="367" t="s">
        <v>265</v>
      </c>
      <c r="BP29" s="562"/>
      <c r="BQ29" s="563"/>
      <c r="BS29" s="562"/>
      <c r="BT29" s="563"/>
      <c r="BV29" s="562"/>
      <c r="BW29" s="563"/>
      <c r="BY29" s="562"/>
      <c r="BZ29" s="563"/>
      <c r="CB29" s="562"/>
      <c r="CC29" s="563"/>
      <c r="CE29" s="562"/>
      <c r="CF29" s="563"/>
      <c r="CH29" s="562"/>
      <c r="CI29" s="563"/>
      <c r="CK29" s="562"/>
      <c r="CL29" s="563"/>
    </row>
    <row r="30" spans="1:90" s="494" customFormat="1" ht="57.6" x14ac:dyDescent="0.3">
      <c r="A30" s="375" t="s">
        <v>270</v>
      </c>
      <c r="B30" s="375">
        <f t="shared" si="3"/>
        <v>1.4539999999999995</v>
      </c>
      <c r="C30" s="931" t="s">
        <v>322</v>
      </c>
      <c r="D30" s="931" t="s">
        <v>323</v>
      </c>
      <c r="E30" s="931" t="str">
        <f t="shared" si="2"/>
        <v>EU: Steel tinplated</v>
      </c>
      <c r="F30" s="931" t="s">
        <v>321</v>
      </c>
      <c r="G30" s="931" t="s">
        <v>318</v>
      </c>
      <c r="H30" s="368" t="str">
        <f>FAUTEUIL!D7</f>
        <v>35NC6</v>
      </c>
      <c r="I30" s="368">
        <f>FAUTEUIL!E7</f>
        <v>1.4169999999999996</v>
      </c>
      <c r="J30" s="402"/>
      <c r="K30" s="264"/>
      <c r="L30" s="402"/>
      <c r="M30" s="368"/>
      <c r="N30" s="264"/>
      <c r="O30" s="402"/>
      <c r="P30" s="368"/>
      <c r="Q30" s="264"/>
      <c r="R30" s="402"/>
      <c r="S30" s="368"/>
      <c r="T30" s="264"/>
      <c r="U30" s="402"/>
      <c r="W30" s="264" t="str">
        <f>'STOWAGE ASSEMBLE AVEC PORTE'!D6</f>
        <v>35NC6</v>
      </c>
      <c r="X30" s="402">
        <f>'STOWAGE ASSEMBLE AVEC PORTE'!E6</f>
        <v>8.0000000000000002E-3</v>
      </c>
      <c r="Z30" s="569"/>
      <c r="AA30" s="570"/>
      <c r="AC30" s="569"/>
      <c r="AD30" s="570"/>
      <c r="AE30" s="368" t="s">
        <v>270</v>
      </c>
      <c r="AF30" s="569"/>
      <c r="AG30" s="570"/>
      <c r="AI30" s="569"/>
      <c r="AJ30" s="570"/>
      <c r="AL30" s="569"/>
      <c r="AM30" s="570"/>
      <c r="AO30" s="569"/>
      <c r="AP30" s="570"/>
      <c r="AR30" s="569"/>
      <c r="AS30" s="570"/>
      <c r="AT30" s="368" t="s">
        <v>270</v>
      </c>
      <c r="AU30" s="569"/>
      <c r="AV30" s="570"/>
      <c r="AX30" s="569"/>
      <c r="AY30" s="570"/>
      <c r="BA30" s="569"/>
      <c r="BB30" s="570"/>
      <c r="BD30" s="569"/>
      <c r="BE30" s="570"/>
      <c r="BG30" s="569"/>
      <c r="BH30" s="570"/>
      <c r="BJ30" s="569"/>
      <c r="BK30" s="570"/>
      <c r="BM30" s="569"/>
      <c r="BN30" s="570"/>
      <c r="BO30" s="368" t="s">
        <v>270</v>
      </c>
      <c r="BP30" s="569"/>
      <c r="BQ30" s="570"/>
      <c r="BS30" s="264" t="str">
        <f>'ENS STRUCTURE FIXE'!D8</f>
        <v>35NC6</v>
      </c>
      <c r="BT30" s="402">
        <f>'ENS STRUCTURE FIXE'!E8</f>
        <v>2.9000000000000001E-2</v>
      </c>
      <c r="BV30" s="569"/>
      <c r="BW30" s="570"/>
      <c r="BY30" s="569"/>
      <c r="BZ30" s="570"/>
      <c r="CB30" s="569"/>
      <c r="CC30" s="570"/>
      <c r="CE30" s="569"/>
      <c r="CF30" s="570"/>
      <c r="CH30" s="569"/>
      <c r="CI30" s="570"/>
      <c r="CK30" s="569"/>
      <c r="CL30" s="570"/>
    </row>
    <row r="31" spans="1:90" s="508" customFormat="1" ht="57.6" x14ac:dyDescent="0.3">
      <c r="A31" s="376" t="s">
        <v>273</v>
      </c>
      <c r="B31" s="376">
        <f t="shared" si="3"/>
        <v>0.86699999999999999</v>
      </c>
      <c r="C31" s="932" t="s">
        <v>324</v>
      </c>
      <c r="D31" s="932" t="s">
        <v>320</v>
      </c>
      <c r="E31" s="932" t="str">
        <f t="shared" si="2"/>
        <v>EU28: Stainless steel cold rolled coil 304 (18,5% Cr, 9% Ni)</v>
      </c>
      <c r="F31" s="932" t="s">
        <v>321</v>
      </c>
      <c r="G31" s="932" t="s">
        <v>318</v>
      </c>
      <c r="H31" s="369" t="str">
        <f>FAUTEUIL!D13</f>
        <v>Z10CNT18</v>
      </c>
      <c r="I31" s="369">
        <f>FAUTEUIL!E13</f>
        <v>0.86699999999999999</v>
      </c>
      <c r="J31" s="535"/>
      <c r="K31" s="534"/>
      <c r="L31" s="535"/>
      <c r="M31" s="369"/>
      <c r="N31" s="534"/>
      <c r="O31" s="535"/>
      <c r="P31" s="369"/>
      <c r="Q31" s="534"/>
      <c r="R31" s="535"/>
      <c r="S31" s="369"/>
      <c r="T31" s="534"/>
      <c r="U31" s="535"/>
      <c r="V31" s="369"/>
      <c r="W31" s="534"/>
      <c r="X31" s="535"/>
      <c r="Z31" s="571"/>
      <c r="AA31" s="572"/>
      <c r="AC31" s="571"/>
      <c r="AD31" s="572"/>
      <c r="AE31" s="369" t="s">
        <v>273</v>
      </c>
      <c r="AF31" s="571"/>
      <c r="AG31" s="572"/>
      <c r="AI31" s="571"/>
      <c r="AJ31" s="572"/>
      <c r="AL31" s="571"/>
      <c r="AM31" s="572"/>
      <c r="AO31" s="571"/>
      <c r="AP31" s="572"/>
      <c r="AR31" s="571"/>
      <c r="AS31" s="572"/>
      <c r="AT31" s="369" t="s">
        <v>273</v>
      </c>
      <c r="AU31" s="571"/>
      <c r="AV31" s="572"/>
      <c r="AX31" s="571"/>
      <c r="AY31" s="572"/>
      <c r="BA31" s="571"/>
      <c r="BB31" s="572"/>
      <c r="BD31" s="571"/>
      <c r="BE31" s="572"/>
      <c r="BG31" s="571"/>
      <c r="BH31" s="572"/>
      <c r="BJ31" s="571"/>
      <c r="BK31" s="572"/>
      <c r="BM31" s="571"/>
      <c r="BN31" s="572"/>
      <c r="BO31" s="369" t="s">
        <v>273</v>
      </c>
      <c r="BP31" s="571"/>
      <c r="BQ31" s="572"/>
      <c r="BS31" s="571"/>
      <c r="BT31" s="572"/>
      <c r="BV31" s="571"/>
      <c r="BW31" s="572"/>
      <c r="BY31" s="571"/>
      <c r="BZ31" s="572"/>
      <c r="CB31" s="571"/>
      <c r="CC31" s="572"/>
      <c r="CE31" s="571"/>
      <c r="CF31" s="572"/>
      <c r="CH31" s="571"/>
      <c r="CI31" s="572"/>
      <c r="CK31" s="571"/>
      <c r="CL31" s="572"/>
    </row>
    <row r="32" spans="1:90" s="480" customFormat="1" ht="57.6" x14ac:dyDescent="0.3">
      <c r="A32" s="783" t="s">
        <v>276</v>
      </c>
      <c r="B32" s="783">
        <f t="shared" si="3"/>
        <v>2E-3</v>
      </c>
      <c r="C32" s="933" t="s">
        <v>322</v>
      </c>
      <c r="D32" s="933" t="s">
        <v>323</v>
      </c>
      <c r="E32" s="933" t="str">
        <f t="shared" si="2"/>
        <v>EU: Steel tinplated</v>
      </c>
      <c r="F32" s="933" t="s">
        <v>321</v>
      </c>
      <c r="G32" s="933" t="s">
        <v>318</v>
      </c>
      <c r="H32" s="370" t="str">
        <f>FAUTEUIL!D14</f>
        <v>4140 (UNS G41400)</v>
      </c>
      <c r="I32" s="370">
        <f>FAUTEUIL!E14</f>
        <v>2E-3</v>
      </c>
      <c r="J32" s="407"/>
      <c r="K32" s="536"/>
      <c r="L32" s="407"/>
      <c r="M32" s="370"/>
      <c r="N32" s="536"/>
      <c r="O32" s="407"/>
      <c r="P32" s="370"/>
      <c r="Q32" s="536"/>
      <c r="R32" s="407"/>
      <c r="S32" s="370"/>
      <c r="T32" s="536"/>
      <c r="U32" s="407"/>
      <c r="V32" s="370"/>
      <c r="W32" s="536"/>
      <c r="X32" s="407"/>
      <c r="Y32" s="370"/>
      <c r="Z32" s="536"/>
      <c r="AA32" s="573"/>
      <c r="AC32" s="596"/>
      <c r="AD32" s="573"/>
      <c r="AE32" s="370" t="s">
        <v>276</v>
      </c>
      <c r="AF32" s="596"/>
      <c r="AG32" s="573"/>
      <c r="AI32" s="596"/>
      <c r="AJ32" s="573"/>
      <c r="AL32" s="596"/>
      <c r="AM32" s="573"/>
      <c r="AO32" s="596"/>
      <c r="AP32" s="573"/>
      <c r="AR32" s="596"/>
      <c r="AS32" s="573"/>
      <c r="AT32" s="370" t="s">
        <v>276</v>
      </c>
      <c r="AU32" s="596"/>
      <c r="AV32" s="573"/>
      <c r="AX32" s="596"/>
      <c r="AY32" s="573"/>
      <c r="BA32" s="596"/>
      <c r="BB32" s="573"/>
      <c r="BD32" s="596"/>
      <c r="BE32" s="573"/>
      <c r="BG32" s="596"/>
      <c r="BH32" s="573"/>
      <c r="BJ32" s="596"/>
      <c r="BK32" s="573"/>
      <c r="BM32" s="596"/>
      <c r="BN32" s="573"/>
      <c r="BO32" s="370" t="s">
        <v>276</v>
      </c>
      <c r="BP32" s="596"/>
      <c r="BQ32" s="573"/>
      <c r="BS32" s="596"/>
      <c r="BT32" s="573"/>
      <c r="BV32" s="596"/>
      <c r="BW32" s="573"/>
      <c r="BY32" s="596"/>
      <c r="BZ32" s="573"/>
      <c r="CB32" s="596"/>
      <c r="CC32" s="573"/>
      <c r="CE32" s="596"/>
      <c r="CF32" s="573"/>
      <c r="CH32" s="596"/>
      <c r="CI32" s="573"/>
      <c r="CK32" s="596"/>
      <c r="CL32" s="573"/>
    </row>
    <row r="33" spans="1:90" s="491" customFormat="1" ht="28.8" x14ac:dyDescent="0.3">
      <c r="A33" s="780" t="s">
        <v>248</v>
      </c>
      <c r="B33" s="780">
        <f t="shared" si="3"/>
        <v>3.1941900000000002E-2</v>
      </c>
      <c r="C33" s="934" t="s">
        <v>325</v>
      </c>
      <c r="D33" s="934" t="s">
        <v>326</v>
      </c>
      <c r="E33" s="934" t="str">
        <f t="shared" si="2"/>
        <v>EU28: Polyamide 6.6</v>
      </c>
      <c r="F33" s="780" t="s">
        <v>327</v>
      </c>
      <c r="G33" s="934" t="s">
        <v>328</v>
      </c>
      <c r="H33" s="443" t="str">
        <f>FAUTEUIL!D11</f>
        <v>NYLON</v>
      </c>
      <c r="I33" s="496">
        <f>FAUTEUIL!E11</f>
        <v>6.0000000000000001E-3</v>
      </c>
      <c r="J33" s="389"/>
      <c r="K33" s="537"/>
      <c r="L33" s="389"/>
      <c r="M33" s="443"/>
      <c r="N33" s="537" t="str">
        <f>TETIERE!D9</f>
        <v>NYLON</v>
      </c>
      <c r="O33" s="394">
        <f>TETIERE!E9</f>
        <v>3.0000000000000001E-3</v>
      </c>
      <c r="P33" s="443"/>
      <c r="Q33" s="537" t="str">
        <f>'ENS TABLETTE COCKTAIL'!D8</f>
        <v>NYLON</v>
      </c>
      <c r="R33" s="394">
        <f>'ENS TABLETTE COCKTAIL'!E8</f>
        <v>2E-3</v>
      </c>
      <c r="S33" s="443"/>
      <c r="T33" s="537"/>
      <c r="U33" s="389"/>
      <c r="V33" s="443"/>
      <c r="W33" s="537"/>
      <c r="X33" s="389"/>
      <c r="Y33" s="443"/>
      <c r="Z33" s="537"/>
      <c r="AA33" s="574"/>
      <c r="AC33" s="597"/>
      <c r="AD33" s="574"/>
      <c r="AE33" s="443" t="s">
        <v>248</v>
      </c>
      <c r="AF33" s="597"/>
      <c r="AG33" s="574"/>
      <c r="AI33" s="597"/>
      <c r="AJ33" s="574"/>
      <c r="AL33" s="597"/>
      <c r="AM33" s="574"/>
      <c r="AO33" s="597"/>
      <c r="AP33" s="574"/>
      <c r="AR33" s="597"/>
      <c r="AS33" s="574"/>
      <c r="AT33" s="443" t="s">
        <v>248</v>
      </c>
      <c r="AU33" s="597"/>
      <c r="AV33" s="574"/>
      <c r="AX33" s="597"/>
      <c r="AY33" s="574"/>
      <c r="BA33" s="537" t="str">
        <f>'ENS STOWAGE LATERAL'!D10</f>
        <v>PLASTIQUE</v>
      </c>
      <c r="BB33" s="389">
        <f>'ENS STOWAGE LATERAL'!E10</f>
        <v>6.0000000000000001E-3</v>
      </c>
      <c r="BD33" s="597"/>
      <c r="BE33" s="574"/>
      <c r="BG33" s="597"/>
      <c r="BH33" s="574"/>
      <c r="BJ33" s="597"/>
      <c r="BK33" s="574"/>
      <c r="BM33" s="597"/>
      <c r="BN33" s="574"/>
      <c r="BO33" s="443" t="s">
        <v>248</v>
      </c>
      <c r="BP33" s="597"/>
      <c r="BQ33" s="574"/>
      <c r="BS33" s="537" t="str">
        <f>'ENS STRUCTURE FIXE'!D9</f>
        <v>NYLON</v>
      </c>
      <c r="BT33" s="389">
        <f>'ENS STRUCTURE FIXE'!E9</f>
        <v>1.45416E-2</v>
      </c>
      <c r="BV33" s="537" t="str">
        <f>'ENS PORTE'!D7</f>
        <v>NYLON</v>
      </c>
      <c r="BW33" s="389">
        <f>'ENS PORTE'!E7</f>
        <v>4.0030000000000003E-4</v>
      </c>
      <c r="BY33" s="597"/>
      <c r="BZ33" s="574"/>
      <c r="CB33" s="597"/>
      <c r="CC33" s="574"/>
      <c r="CE33" s="597"/>
      <c r="CF33" s="574"/>
      <c r="CH33" s="597"/>
      <c r="CI33" s="574"/>
      <c r="CK33" s="597"/>
      <c r="CL33" s="574"/>
    </row>
    <row r="34" spans="1:90" s="489" customFormat="1" ht="28.8" x14ac:dyDescent="0.3">
      <c r="A34" s="784" t="s">
        <v>240</v>
      </c>
      <c r="B34" s="784">
        <f t="shared" si="3"/>
        <v>0.94517592000000017</v>
      </c>
      <c r="C34" s="935" t="s">
        <v>329</v>
      </c>
      <c r="D34" s="935"/>
      <c r="E34" s="981">
        <f t="shared" si="2"/>
        <v>0</v>
      </c>
      <c r="F34" s="784" t="s">
        <v>327</v>
      </c>
      <c r="G34" s="935" t="s">
        <v>328</v>
      </c>
      <c r="H34" s="59" t="str">
        <f>FAUTEUIL!D15</f>
        <v>PLASTIQUE</v>
      </c>
      <c r="I34" s="59">
        <f>FAUTEUIL!E15</f>
        <v>7.5000000000000011E-2</v>
      </c>
      <c r="J34" s="388"/>
      <c r="K34" s="538"/>
      <c r="L34" s="388"/>
      <c r="M34" s="59"/>
      <c r="N34" s="538" t="str">
        <f>TETIERE!D10</f>
        <v>PLASTIQUE</v>
      </c>
      <c r="O34" s="388">
        <f>TETIERE!E10</f>
        <v>5.0000000000000001E-4</v>
      </c>
      <c r="P34" s="59"/>
      <c r="Q34" s="538" t="str">
        <f>'ENS TABLETTE COCKTAIL'!D9</f>
        <v>PLASTIQUE</v>
      </c>
      <c r="R34" s="388">
        <f>'ENS TABLETTE COCKTAIL'!E9</f>
        <v>0.71300000000000008</v>
      </c>
      <c r="S34" s="59"/>
      <c r="T34" s="538" t="str">
        <f>'ENS TABLETTE REPAS'!D9</f>
        <v>PLASTIQUE</v>
      </c>
      <c r="U34" s="388">
        <f>'ENS TABLETTE REPAS'!E9</f>
        <v>3.5500000000000004E-2</v>
      </c>
      <c r="W34" s="538" t="str">
        <f>'STOWAGE ASSEMBLE AVEC PORTE'!D9</f>
        <v>PLASTIQUE</v>
      </c>
      <c r="X34" s="388">
        <f>'STOWAGE ASSEMBLE AVEC PORTE'!E9</f>
        <v>9.4500000000000001E-2</v>
      </c>
      <c r="Y34" s="59"/>
      <c r="Z34" s="538"/>
      <c r="AA34" s="575"/>
      <c r="AC34" s="598"/>
      <c r="AD34" s="575"/>
      <c r="AE34" s="59" t="s">
        <v>240</v>
      </c>
      <c r="AF34" s="598"/>
      <c r="AG34" s="575"/>
      <c r="AI34" s="538" t="str">
        <f>'ENSEMBLE PALETTE OPTIMISEE'!D10</f>
        <v>PLASTIQUE</v>
      </c>
      <c r="AJ34" s="388">
        <f>'ENSEMBLE PALETTE OPTIMISEE'!E10</f>
        <v>4.0000000000000001E-3</v>
      </c>
      <c r="AL34" s="538" t="str">
        <f>'ENSEMBLE EQUIPEMENTS LATERALES'!D8</f>
        <v>PLASTIQUE</v>
      </c>
      <c r="AM34" s="388">
        <f>'ENSEMBLE EQUIPEMENTS LATERALES'!E8</f>
        <v>2.5779000000000002E-3</v>
      </c>
      <c r="AO34" s="598"/>
      <c r="AP34" s="575"/>
      <c r="AR34" s="598"/>
      <c r="AS34" s="575"/>
      <c r="AT34" s="59" t="s">
        <v>240</v>
      </c>
      <c r="AU34" s="598"/>
      <c r="AV34" s="575"/>
      <c r="AX34" s="598"/>
      <c r="AY34" s="575"/>
      <c r="BA34" s="598"/>
      <c r="BB34" s="575"/>
      <c r="BD34" s="598"/>
      <c r="BE34" s="575"/>
      <c r="BG34" s="598"/>
      <c r="BH34" s="575"/>
      <c r="BJ34" s="598"/>
      <c r="BK34" s="575"/>
      <c r="BM34" s="598"/>
      <c r="BN34" s="575"/>
      <c r="BO34" s="59" t="s">
        <v>240</v>
      </c>
      <c r="BP34" s="598"/>
      <c r="BQ34" s="575"/>
      <c r="BS34" s="538" t="str">
        <f>'ENS STRUCTURE FIXE'!D10</f>
        <v>PLASTIQUE</v>
      </c>
      <c r="BT34" s="634">
        <f>'ENS STRUCTURE FIXE'!E10</f>
        <v>1.0098020000000001E-2</v>
      </c>
      <c r="BV34" s="538" t="str">
        <f>'ENS PORTE'!D8</f>
        <v>PLASTIQUE</v>
      </c>
      <c r="BW34" s="388">
        <f>'ENS PORTE'!E8</f>
        <v>0.01</v>
      </c>
      <c r="BY34" s="598"/>
      <c r="BZ34" s="575"/>
      <c r="CB34" s="598"/>
      <c r="CC34" s="575"/>
      <c r="CE34" s="598"/>
      <c r="CF34" s="575"/>
      <c r="CH34" s="598"/>
      <c r="CI34" s="575"/>
      <c r="CK34" s="598"/>
      <c r="CL34" s="575"/>
    </row>
    <row r="35" spans="1:90" s="483" customFormat="1" ht="28.8" x14ac:dyDescent="0.3">
      <c r="A35" s="793" t="s">
        <v>262</v>
      </c>
      <c r="B35" s="793">
        <f t="shared" si="3"/>
        <v>4.2445600000000007E-2</v>
      </c>
      <c r="C35" s="936" t="s">
        <v>330</v>
      </c>
      <c r="D35" s="936" t="s">
        <v>331</v>
      </c>
      <c r="E35" s="936" t="str">
        <f t="shared" si="2"/>
        <v>EU28: Polyamide 6</v>
      </c>
      <c r="F35" s="793" t="s">
        <v>327</v>
      </c>
      <c r="G35" s="936" t="s">
        <v>328</v>
      </c>
      <c r="H35" s="463"/>
      <c r="I35" s="463"/>
      <c r="J35" s="96"/>
      <c r="K35" s="539"/>
      <c r="L35" s="96"/>
      <c r="M35" s="463"/>
      <c r="N35" s="539"/>
      <c r="O35" s="96"/>
      <c r="P35" s="463"/>
      <c r="Q35" s="539"/>
      <c r="R35" s="96"/>
      <c r="S35" s="463"/>
      <c r="T35" s="539" t="str">
        <f>'ENS TABLETTE REPAS'!D11</f>
        <v>ERTALON</v>
      </c>
      <c r="U35" s="96">
        <f>'ENS TABLETTE REPAS'!E11</f>
        <v>7.0000000000000001E-3</v>
      </c>
      <c r="V35" s="463"/>
      <c r="W35" s="539" t="str">
        <f>'STOWAGE ASSEMBLE AVEC PORTE'!D10</f>
        <v>ERTALON</v>
      </c>
      <c r="X35" s="96">
        <f>'STOWAGE ASSEMBLE AVEC PORTE'!E10</f>
        <v>0.02</v>
      </c>
      <c r="Y35" s="463"/>
      <c r="Z35" s="539"/>
      <c r="AA35" s="576"/>
      <c r="AC35" s="599"/>
      <c r="AD35" s="576"/>
      <c r="AE35" s="463" t="s">
        <v>262</v>
      </c>
      <c r="AF35" s="599"/>
      <c r="AG35" s="576"/>
      <c r="AI35" s="599"/>
      <c r="AJ35" s="576"/>
      <c r="AL35" s="539" t="str">
        <f>'ENSEMBLE EQUIPEMENTS LATERALES'!D7</f>
        <v>ERTALON</v>
      </c>
      <c r="AM35" s="628">
        <f>'ENSEMBLE EQUIPEMENTS LATERALES'!E7</f>
        <v>1.7310000000000001E-4</v>
      </c>
      <c r="AO35" s="539" t="str">
        <f>'ACCOUDOIR ALLEE'!D11</f>
        <v>ERTALON</v>
      </c>
      <c r="AP35" s="628">
        <f>'ACCOUDOIR ALLEE'!E11</f>
        <v>0.01</v>
      </c>
      <c r="AR35" s="599"/>
      <c r="AS35" s="576"/>
      <c r="AT35" s="463" t="s">
        <v>262</v>
      </c>
      <c r="AU35" s="539" t="str">
        <f>'STRUCTURE OTTOMAN (horizontale)'!D6</f>
        <v>ERTALON</v>
      </c>
      <c r="AV35" s="96">
        <f>'STRUCTURE OTTOMAN (horizontale)'!E6</f>
        <v>2.7250000000000001E-4</v>
      </c>
      <c r="AX35" s="599"/>
      <c r="AY35" s="576"/>
      <c r="BA35" s="539" t="str">
        <f>'ENS STOWAGE LATERAL'!D9</f>
        <v>ERTALON</v>
      </c>
      <c r="BB35" s="96">
        <f>'ENS STOWAGE LATERAL'!E9</f>
        <v>3.0000000000000001E-3</v>
      </c>
      <c r="BD35" s="599"/>
      <c r="BE35" s="576"/>
      <c r="BG35" s="599"/>
      <c r="BH35" s="576"/>
      <c r="BJ35" s="599"/>
      <c r="BK35" s="576"/>
      <c r="BM35" s="599"/>
      <c r="BN35" s="576"/>
      <c r="BO35" s="463" t="s">
        <v>262</v>
      </c>
      <c r="BP35" s="599"/>
      <c r="BQ35" s="576"/>
      <c r="BS35" s="599"/>
      <c r="BT35" s="576"/>
      <c r="BV35" s="539" t="str">
        <f>'ENS PORTE'!D9</f>
        <v>ERTALON</v>
      </c>
      <c r="BW35" s="96">
        <f>'ENS PORTE'!E9</f>
        <v>2E-3</v>
      </c>
      <c r="BY35" s="599"/>
      <c r="BZ35" s="576"/>
      <c r="CB35" s="599"/>
      <c r="CC35" s="576"/>
      <c r="CE35" s="599"/>
      <c r="CF35" s="576"/>
      <c r="CH35" s="599"/>
      <c r="CI35" s="576"/>
      <c r="CK35" s="599"/>
      <c r="CL35" s="576"/>
    </row>
    <row r="36" spans="1:90" s="498" customFormat="1" ht="28.8" x14ac:dyDescent="0.3">
      <c r="A36" s="796" t="s">
        <v>267</v>
      </c>
      <c r="B36" s="796">
        <f t="shared" si="3"/>
        <v>1.4929999999999999</v>
      </c>
      <c r="C36" s="937" t="s">
        <v>332</v>
      </c>
      <c r="D36" s="937" t="s">
        <v>333</v>
      </c>
      <c r="E36" s="937" t="str">
        <f t="shared" si="2"/>
        <v>RER: Polyvinyl chloride film (PVC)</v>
      </c>
      <c r="F36" s="937" t="s">
        <v>334</v>
      </c>
      <c r="G36" s="937" t="s">
        <v>328</v>
      </c>
      <c r="H36" s="464"/>
      <c r="I36" s="464"/>
      <c r="J36" s="408"/>
      <c r="K36" s="540"/>
      <c r="L36" s="408"/>
      <c r="M36" s="464"/>
      <c r="N36" s="540"/>
      <c r="O36" s="408"/>
      <c r="P36" s="464"/>
      <c r="Q36" s="540"/>
      <c r="R36" s="408"/>
      <c r="S36" s="464"/>
      <c r="T36" s="540"/>
      <c r="U36" s="408"/>
      <c r="V36" s="464"/>
      <c r="W36" s="540" t="str">
        <f>'STOWAGE ASSEMBLE AVEC PORTE'!D11</f>
        <v>KYDEX</v>
      </c>
      <c r="X36" s="408">
        <f>'STOWAGE ASSEMBLE AVEC PORTE'!E11</f>
        <v>0.22600000000000001</v>
      </c>
      <c r="Y36" s="464"/>
      <c r="Z36" s="540"/>
      <c r="AA36" s="577"/>
      <c r="AC36" s="600"/>
      <c r="AD36" s="577"/>
      <c r="AE36" s="464" t="s">
        <v>335</v>
      </c>
      <c r="AF36" s="600"/>
      <c r="AG36" s="577"/>
      <c r="AI36" s="600"/>
      <c r="AJ36" s="577"/>
      <c r="AL36" s="600"/>
      <c r="AM36" s="577"/>
      <c r="AO36" s="600"/>
      <c r="AP36" s="577"/>
      <c r="AR36" s="600"/>
      <c r="AS36" s="577"/>
      <c r="AT36" s="464" t="s">
        <v>335</v>
      </c>
      <c r="AU36" s="600"/>
      <c r="AV36" s="577"/>
      <c r="AX36" s="600"/>
      <c r="AY36" s="577"/>
      <c r="BA36" s="540" t="str">
        <f>'ENS STOWAGE LATERAL'!D8</f>
        <v>KYDEX</v>
      </c>
      <c r="BB36" s="408">
        <f>'ENS STOWAGE LATERAL'!E8</f>
        <v>1.161</v>
      </c>
      <c r="BD36" s="600"/>
      <c r="BE36" s="577"/>
      <c r="BG36" s="600"/>
      <c r="BH36" s="577"/>
      <c r="BJ36" s="600"/>
      <c r="BK36" s="577"/>
      <c r="BM36" s="600"/>
      <c r="BN36" s="577"/>
      <c r="BO36" s="464" t="s">
        <v>335</v>
      </c>
      <c r="BP36" s="540" t="str">
        <f>'CAPOT NFC'!D5</f>
        <v>KYDEX</v>
      </c>
      <c r="BQ36" s="408">
        <f>'CAPOT NFC'!E5</f>
        <v>6.9000000000000006E-2</v>
      </c>
      <c r="BS36" s="600"/>
      <c r="BT36" s="577"/>
      <c r="BV36" s="600"/>
      <c r="BW36" s="577"/>
      <c r="BY36" s="540" t="str">
        <f>'COUSSIN OTTOMAN'!D8</f>
        <v>KYDEX</v>
      </c>
      <c r="BZ36" s="408">
        <f>'COUSSIN OTTOMAN'!E8</f>
        <v>3.6999999999999998E-2</v>
      </c>
      <c r="CB36" s="600"/>
      <c r="CC36" s="577"/>
      <c r="CE36" s="600"/>
      <c r="CF36" s="577"/>
      <c r="CH36" s="600"/>
      <c r="CI36" s="577"/>
      <c r="CK36" s="600"/>
      <c r="CL36" s="577"/>
    </row>
    <row r="37" spans="1:90" s="481" customFormat="1" ht="57.6" x14ac:dyDescent="0.3">
      <c r="A37" s="811" t="s">
        <v>271</v>
      </c>
      <c r="B37" s="811">
        <f t="shared" si="3"/>
        <v>4.9931999999999997E-3</v>
      </c>
      <c r="C37" s="938" t="s">
        <v>336</v>
      </c>
      <c r="D37" s="938" t="s">
        <v>337</v>
      </c>
      <c r="E37" s="938" t="str">
        <f t="shared" si="2"/>
        <v>EU28: solvent based polychloroprene adhesive of good heat resistance</v>
      </c>
      <c r="F37" s="811" t="s">
        <v>327</v>
      </c>
      <c r="G37" s="938" t="s">
        <v>328</v>
      </c>
      <c r="H37" s="465"/>
      <c r="I37" s="465"/>
      <c r="J37" s="409"/>
      <c r="K37" s="541"/>
      <c r="L37" s="409"/>
      <c r="M37" s="465"/>
      <c r="N37" s="541"/>
      <c r="O37" s="409"/>
      <c r="P37" s="465"/>
      <c r="Q37" s="541"/>
      <c r="R37" s="409"/>
      <c r="S37" s="465"/>
      <c r="T37" s="541"/>
      <c r="U37" s="409"/>
      <c r="V37" s="465"/>
      <c r="W37" s="541"/>
      <c r="X37" s="409"/>
      <c r="Y37" s="465"/>
      <c r="Z37" s="541"/>
      <c r="AA37" s="578"/>
      <c r="AC37" s="601"/>
      <c r="AD37" s="578"/>
      <c r="AE37" s="465" t="s">
        <v>271</v>
      </c>
      <c r="AF37" s="601"/>
      <c r="AG37" s="578"/>
      <c r="AI37" s="541" t="str">
        <f>'ENSEMBLE PALETTE OPTIMISEE'!D9</f>
        <v>POLYCHLOROPRENE</v>
      </c>
      <c r="AJ37" s="625">
        <f>'ENSEMBLE PALETTE OPTIMISEE'!E9</f>
        <v>4.9931999999999997E-3</v>
      </c>
      <c r="AL37" s="601"/>
      <c r="AM37" s="578"/>
      <c r="AO37" s="601"/>
      <c r="AP37" s="578"/>
      <c r="AR37" s="601"/>
      <c r="AS37" s="578"/>
      <c r="AT37" s="465" t="s">
        <v>271</v>
      </c>
      <c r="AU37" s="601"/>
      <c r="AV37" s="578"/>
      <c r="AX37" s="601"/>
      <c r="AY37" s="578"/>
      <c r="BA37" s="601"/>
      <c r="BB37" s="578"/>
      <c r="BD37" s="601"/>
      <c r="BE37" s="578"/>
      <c r="BG37" s="601"/>
      <c r="BH37" s="578"/>
      <c r="BJ37" s="601"/>
      <c r="BK37" s="578"/>
      <c r="BM37" s="601"/>
      <c r="BN37" s="578"/>
      <c r="BO37" s="465" t="s">
        <v>271</v>
      </c>
      <c r="BP37" s="601"/>
      <c r="BQ37" s="578"/>
      <c r="BS37" s="601"/>
      <c r="BT37" s="578"/>
      <c r="BV37" s="601"/>
      <c r="BW37" s="578"/>
      <c r="BY37" s="601"/>
      <c r="BZ37" s="578"/>
      <c r="CB37" s="601"/>
      <c r="CC37" s="578"/>
      <c r="CE37" s="601"/>
      <c r="CF37" s="578"/>
      <c r="CH37" s="601"/>
      <c r="CI37" s="578"/>
      <c r="CK37" s="601"/>
      <c r="CL37" s="578"/>
    </row>
    <row r="38" spans="1:90" s="477" customFormat="1" ht="28.8" x14ac:dyDescent="0.3">
      <c r="A38" s="819" t="s">
        <v>274</v>
      </c>
      <c r="B38" s="819">
        <f t="shared" si="3"/>
        <v>0.151</v>
      </c>
      <c r="C38" s="939" t="s">
        <v>338</v>
      </c>
      <c r="D38" s="939" t="s">
        <v>339</v>
      </c>
      <c r="E38" s="939" t="str">
        <f t="shared" si="2"/>
        <v>EU28: Polycarbonate</v>
      </c>
      <c r="F38" s="939" t="s">
        <v>334</v>
      </c>
      <c r="G38" s="939" t="s">
        <v>328</v>
      </c>
      <c r="H38" s="466"/>
      <c r="I38" s="466"/>
      <c r="J38" s="543"/>
      <c r="K38" s="542"/>
      <c r="L38" s="543"/>
      <c r="M38" s="466"/>
      <c r="N38" s="542"/>
      <c r="O38" s="543"/>
      <c r="P38" s="466"/>
      <c r="Q38" s="542"/>
      <c r="R38" s="543"/>
      <c r="S38" s="466"/>
      <c r="T38" s="542"/>
      <c r="U38" s="543"/>
      <c r="V38" s="466"/>
      <c r="W38" s="542"/>
      <c r="X38" s="543"/>
      <c r="Y38" s="466"/>
      <c r="Z38" s="542"/>
      <c r="AA38" s="579"/>
      <c r="AC38" s="602"/>
      <c r="AD38" s="579"/>
      <c r="AE38" s="466" t="s">
        <v>274</v>
      </c>
      <c r="AF38" s="602"/>
      <c r="AG38" s="579"/>
      <c r="AI38" s="602"/>
      <c r="AJ38" s="579"/>
      <c r="AL38" s="602"/>
      <c r="AM38" s="579"/>
      <c r="AO38" s="602"/>
      <c r="AP38" s="579"/>
      <c r="AR38" s="542" t="str">
        <f>'BUMPER VERSION PORTE'!D8</f>
        <v>COPOLIMER LEXAN FST 9705</v>
      </c>
      <c r="AS38" s="543">
        <f>'BUMPER VERSION PORTE'!E8</f>
        <v>0.151</v>
      </c>
      <c r="AT38" s="466" t="s">
        <v>274</v>
      </c>
      <c r="AU38" s="602"/>
      <c r="AV38" s="579"/>
      <c r="AX38" s="602"/>
      <c r="AY38" s="579"/>
      <c r="BA38" s="602"/>
      <c r="BB38" s="579"/>
      <c r="BD38" s="602"/>
      <c r="BE38" s="579"/>
      <c r="BG38" s="602"/>
      <c r="BH38" s="579"/>
      <c r="BJ38" s="602"/>
      <c r="BK38" s="579"/>
      <c r="BM38" s="602"/>
      <c r="BN38" s="579"/>
      <c r="BO38" s="466" t="s">
        <v>274</v>
      </c>
      <c r="BP38" s="602"/>
      <c r="BQ38" s="579"/>
      <c r="BS38" s="602"/>
      <c r="BT38" s="579"/>
      <c r="BV38" s="602"/>
      <c r="BW38" s="579"/>
      <c r="BY38" s="602"/>
      <c r="BZ38" s="579"/>
      <c r="CB38" s="602"/>
      <c r="CC38" s="579"/>
      <c r="CE38" s="602"/>
      <c r="CF38" s="579"/>
      <c r="CH38" s="602"/>
      <c r="CI38" s="579"/>
      <c r="CK38" s="602"/>
      <c r="CL38" s="579"/>
    </row>
    <row r="39" spans="1:90" s="499" customFormat="1" ht="57.6" x14ac:dyDescent="0.3">
      <c r="A39" s="770" t="s">
        <v>247</v>
      </c>
      <c r="B39" s="770">
        <f t="shared" si="3"/>
        <v>8.500000000000002E-2</v>
      </c>
      <c r="C39" s="916" t="s">
        <v>340</v>
      </c>
      <c r="D39" s="916" t="s">
        <v>341</v>
      </c>
      <c r="E39" s="916" t="str">
        <f t="shared" si="2"/>
        <v>EU28: Polyurethane flexible foam, with flame retardant
EU28: PA6.6 fibres</v>
      </c>
      <c r="F39" s="770" t="s">
        <v>342</v>
      </c>
      <c r="G39" s="916" t="s">
        <v>328</v>
      </c>
      <c r="H39" s="299" t="str">
        <f>FAUTEUIL!D12</f>
        <v>VELCRO</v>
      </c>
      <c r="I39" s="299">
        <f>FAUTEUIL!E12</f>
        <v>6.0999999999999999E-2</v>
      </c>
      <c r="J39" s="391"/>
      <c r="K39" s="544"/>
      <c r="L39" s="391"/>
      <c r="M39" s="299"/>
      <c r="N39" s="544"/>
      <c r="O39" s="391"/>
      <c r="P39" s="299"/>
      <c r="Q39" s="544"/>
      <c r="R39" s="391"/>
      <c r="S39" s="299"/>
      <c r="T39" s="544"/>
      <c r="U39" s="391"/>
      <c r="V39" s="299"/>
      <c r="W39" s="544"/>
      <c r="X39" s="391"/>
      <c r="Y39" s="299"/>
      <c r="Z39" s="544"/>
      <c r="AA39" s="580"/>
      <c r="AC39" s="603"/>
      <c r="AD39" s="580"/>
      <c r="AE39" s="299" t="s">
        <v>247</v>
      </c>
      <c r="AF39" s="603"/>
      <c r="AG39" s="580"/>
      <c r="AI39" s="603"/>
      <c r="AJ39" s="580"/>
      <c r="AL39" s="603"/>
      <c r="AM39" s="580"/>
      <c r="AO39" s="603"/>
      <c r="AP39" s="580"/>
      <c r="AR39" s="603"/>
      <c r="AS39" s="580"/>
      <c r="AT39" s="299" t="s">
        <v>247</v>
      </c>
      <c r="AU39" s="603"/>
      <c r="AV39" s="580"/>
      <c r="AX39" s="603"/>
      <c r="AY39" s="580"/>
      <c r="BA39" s="603"/>
      <c r="BB39" s="580"/>
      <c r="BD39" s="603"/>
      <c r="BE39" s="580"/>
      <c r="BG39" s="544" t="str">
        <f>'MANCHETTE EQUIPEE'!D9</f>
        <v>VELCRO</v>
      </c>
      <c r="BH39" s="391">
        <f>'MANCHETTE EQUIPEE'!E9</f>
        <v>6.0000000000000001E-3</v>
      </c>
      <c r="BJ39" s="603"/>
      <c r="BK39" s="580"/>
      <c r="BM39" s="603"/>
      <c r="BN39" s="580"/>
      <c r="BO39" s="299" t="s">
        <v>247</v>
      </c>
      <c r="BP39" s="603"/>
      <c r="BQ39" s="580"/>
      <c r="BS39" s="603"/>
      <c r="BT39" s="580"/>
      <c r="BV39" s="603"/>
      <c r="BW39" s="580"/>
      <c r="BY39" s="603"/>
      <c r="BZ39" s="580"/>
      <c r="CB39" s="544" t="str">
        <f>'COUSSIN TETIERE'!D8</f>
        <v>VELCRO</v>
      </c>
      <c r="CC39" s="391">
        <f>'COUSSIN TETIERE'!E8</f>
        <v>7.0000000000000001E-3</v>
      </c>
      <c r="CE39" s="544" t="str">
        <f>'ENS COUSSIN DOS VERSION TETIERE'!E8</f>
        <v>VELCRO</v>
      </c>
      <c r="CF39" s="391">
        <f>'ENS COUSSIN DOS VERSION TETIERE'!F8</f>
        <v>5.0000000000000001E-3</v>
      </c>
      <c r="CH39" s="544" t="str">
        <f>'ENS COUSSIN DOSSIER'!E8</f>
        <v>VELCRO</v>
      </c>
      <c r="CI39" s="391">
        <f>'ENS COUSSIN DOSSIER'!F8</f>
        <v>6.0000000000000001E-3</v>
      </c>
      <c r="CK39" s="603"/>
      <c r="CL39" s="580"/>
    </row>
    <row r="40" spans="1:90" s="501" customFormat="1" ht="57.6" x14ac:dyDescent="0.3">
      <c r="A40" s="806" t="s">
        <v>255</v>
      </c>
      <c r="B40" s="806">
        <f t="shared" si="3"/>
        <v>0.10700000000000001</v>
      </c>
      <c r="C40" s="940" t="s">
        <v>340</v>
      </c>
      <c r="D40" s="940" t="s">
        <v>341</v>
      </c>
      <c r="E40" s="940" t="str">
        <f t="shared" si="2"/>
        <v>EU28: Polyurethane flexible foam, with flame retardant
EU28: PA6.6 fibres</v>
      </c>
      <c r="F40" s="806" t="s">
        <v>342</v>
      </c>
      <c r="G40" s="940" t="s">
        <v>328</v>
      </c>
      <c r="H40" s="467"/>
      <c r="I40" s="467"/>
      <c r="J40" s="416"/>
      <c r="K40" s="545"/>
      <c r="L40" s="416"/>
      <c r="M40" s="467"/>
      <c r="N40" s="545"/>
      <c r="O40" s="416"/>
      <c r="P40" s="467"/>
      <c r="Q40" s="545"/>
      <c r="R40" s="416"/>
      <c r="S40" s="467"/>
      <c r="T40" s="545"/>
      <c r="U40" s="416"/>
      <c r="V40" s="467"/>
      <c r="W40" s="545"/>
      <c r="X40" s="416"/>
      <c r="Y40" s="467"/>
      <c r="Z40" s="545"/>
      <c r="AA40" s="581"/>
      <c r="AC40" s="604"/>
      <c r="AD40" s="581"/>
      <c r="AE40" s="467" t="s">
        <v>255</v>
      </c>
      <c r="AF40" s="545" t="str">
        <f>'HABILLAGE SOUS FAUTEUIL'!D7</f>
        <v>VELOUR</v>
      </c>
      <c r="AG40" s="416">
        <f>'HABILLAGE SOUS FAUTEUIL'!E7</f>
        <v>7.0000000000000001E-3</v>
      </c>
      <c r="AI40" s="604"/>
      <c r="AJ40" s="581"/>
      <c r="AL40" s="545" t="str">
        <f>'ENSEMBLE EQUIPEMENTS LATERALES'!D9</f>
        <v>VELOUR</v>
      </c>
      <c r="AM40" s="416">
        <f>'ENSEMBLE EQUIPEMENTS LATERALES'!E9</f>
        <v>8.0000000000000002E-3</v>
      </c>
      <c r="AO40" s="604"/>
      <c r="AP40" s="581"/>
      <c r="AR40" s="604"/>
      <c r="AS40" s="581"/>
      <c r="AT40" s="467" t="s">
        <v>255</v>
      </c>
      <c r="AU40" s="604"/>
      <c r="AV40" s="581"/>
      <c r="AX40" s="604"/>
      <c r="AY40" s="581"/>
      <c r="BA40" s="604"/>
      <c r="BB40" s="581"/>
      <c r="BD40" s="604"/>
      <c r="BE40" s="581"/>
      <c r="BG40" s="604"/>
      <c r="BH40" s="581"/>
      <c r="BJ40" s="604"/>
      <c r="BK40" s="581"/>
      <c r="BM40" s="604"/>
      <c r="BN40" s="581"/>
      <c r="BO40" s="467" t="s">
        <v>255</v>
      </c>
      <c r="BP40" s="604"/>
      <c r="BQ40" s="581"/>
      <c r="BS40" s="604"/>
      <c r="BT40" s="581"/>
      <c r="BV40" s="604"/>
      <c r="BW40" s="581"/>
      <c r="BY40" s="545" t="str">
        <f>'COUSSIN OTTOMAN'!D7</f>
        <v>VELOURS</v>
      </c>
      <c r="BZ40" s="416">
        <f>'COUSSIN OTTOMAN'!E7</f>
        <v>3.4000000000000002E-2</v>
      </c>
      <c r="CB40" s="545" t="str">
        <f>'COUSSIN TETIERE'!D7</f>
        <v>VELOURS</v>
      </c>
      <c r="CC40" s="416">
        <f>'COUSSIN TETIERE'!E7</f>
        <v>3.0000000000000001E-3</v>
      </c>
      <c r="CE40" s="545" t="str">
        <f>'ENS COUSSIN DOS VERSION TETIERE'!E7</f>
        <v>VELOURS</v>
      </c>
      <c r="CF40" s="416">
        <f>'ENS COUSSIN DOS VERSION TETIERE'!F7</f>
        <v>8.0000000000000002E-3</v>
      </c>
      <c r="CH40" s="545" t="str">
        <f>'ENS COUSSIN DOSSIER'!E7</f>
        <v>VELOURS</v>
      </c>
      <c r="CI40" s="416">
        <f>'ENS COUSSIN DOSSIER'!F7</f>
        <v>2.1999999999999999E-2</v>
      </c>
      <c r="CK40" s="545" t="str">
        <f>'ENS COUSSIN ASSISE'!D7</f>
        <v>VELOURS</v>
      </c>
      <c r="CL40" s="416">
        <f>'ENS COUSSIN ASSISE'!E7</f>
        <v>2.5000000000000001E-2</v>
      </c>
    </row>
    <row r="41" spans="1:90" s="502" customFormat="1" ht="28.8" x14ac:dyDescent="0.3">
      <c r="A41" s="790" t="s">
        <v>261</v>
      </c>
      <c r="B41" s="790">
        <f t="shared" si="3"/>
        <v>4.0000000000000001E-3</v>
      </c>
      <c r="C41" s="941" t="s">
        <v>343</v>
      </c>
      <c r="D41" s="941" t="s">
        <v>344</v>
      </c>
      <c r="E41" s="941" t="str">
        <f>C41</f>
        <v>95% Wool/ 5%Nylon</v>
      </c>
      <c r="F41" s="790" t="s">
        <v>342</v>
      </c>
      <c r="G41" s="941" t="s">
        <v>328</v>
      </c>
      <c r="H41" s="468"/>
      <c r="I41" s="468"/>
      <c r="J41" s="387"/>
      <c r="K41" s="546"/>
      <c r="L41" s="387"/>
      <c r="M41" s="468"/>
      <c r="N41" s="546" t="str">
        <f>TETIERE!D11</f>
        <v>TISSUS 600</v>
      </c>
      <c r="O41" s="387">
        <f>TETIERE!E11</f>
        <v>2E-3</v>
      </c>
      <c r="P41" s="468"/>
      <c r="Q41" s="546" t="str">
        <f>'ENS TABLETTE COCKTAIL'!D10</f>
        <v>TISSUS 600</v>
      </c>
      <c r="R41" s="387">
        <f>'ENS TABLETTE COCKTAIL'!E10</f>
        <v>2E-3</v>
      </c>
      <c r="S41" s="468"/>
      <c r="T41" s="546"/>
      <c r="U41" s="387"/>
      <c r="V41" s="468"/>
      <c r="W41" s="546"/>
      <c r="X41" s="387"/>
      <c r="Y41" s="468"/>
      <c r="Z41" s="546"/>
      <c r="AA41" s="582"/>
      <c r="AC41" s="605"/>
      <c r="AD41" s="582"/>
      <c r="AE41" s="468" t="s">
        <v>261</v>
      </c>
      <c r="AF41" s="605"/>
      <c r="AG41" s="582"/>
      <c r="AI41" s="605"/>
      <c r="AJ41" s="582"/>
      <c r="AL41" s="605"/>
      <c r="AM41" s="582"/>
      <c r="AO41" s="605"/>
      <c r="AP41" s="582"/>
      <c r="AR41" s="605"/>
      <c r="AS41" s="582"/>
      <c r="AT41" s="468" t="s">
        <v>261</v>
      </c>
      <c r="AU41" s="605"/>
      <c r="AV41" s="582"/>
      <c r="AX41" s="605"/>
      <c r="AY41" s="582"/>
      <c r="BA41" s="605"/>
      <c r="BB41" s="582"/>
      <c r="BD41" s="605"/>
      <c r="BE41" s="582"/>
      <c r="BG41" s="605"/>
      <c r="BH41" s="582"/>
      <c r="BJ41" s="605"/>
      <c r="BK41" s="582"/>
      <c r="BM41" s="605"/>
      <c r="BN41" s="582"/>
      <c r="BO41" s="468" t="s">
        <v>261</v>
      </c>
      <c r="BP41" s="605"/>
      <c r="BQ41" s="582"/>
      <c r="BS41" s="605"/>
      <c r="BT41" s="582"/>
      <c r="BV41" s="605"/>
      <c r="BW41" s="582"/>
      <c r="BY41" s="605"/>
      <c r="BZ41" s="582"/>
      <c r="CB41" s="605"/>
      <c r="CC41" s="582"/>
      <c r="CE41" s="605"/>
      <c r="CF41" s="582"/>
      <c r="CH41" s="605"/>
      <c r="CI41" s="582"/>
      <c r="CK41" s="605"/>
      <c r="CL41" s="582"/>
    </row>
    <row r="42" spans="1:90" s="504" customFormat="1" ht="28.8" x14ac:dyDescent="0.3">
      <c r="A42" s="829" t="s">
        <v>266</v>
      </c>
      <c r="B42" s="829">
        <f t="shared" si="3"/>
        <v>2.331</v>
      </c>
      <c r="C42" s="942" t="s">
        <v>343</v>
      </c>
      <c r="D42" s="942" t="s">
        <v>344</v>
      </c>
      <c r="E42" s="942" t="str">
        <f>C42</f>
        <v>95% Wool/ 5%Nylon</v>
      </c>
      <c r="F42" s="829" t="s">
        <v>342</v>
      </c>
      <c r="G42" s="942" t="s">
        <v>328</v>
      </c>
      <c r="H42" s="344"/>
      <c r="I42" s="344"/>
      <c r="J42" s="548"/>
      <c r="K42" s="547"/>
      <c r="L42" s="548"/>
      <c r="M42" s="344"/>
      <c r="N42" s="547"/>
      <c r="O42" s="548"/>
      <c r="P42" s="344"/>
      <c r="Q42" s="547"/>
      <c r="R42" s="548"/>
      <c r="S42" s="344"/>
      <c r="T42" s="547"/>
      <c r="U42" s="548"/>
      <c r="V42" s="344"/>
      <c r="W42" s="547"/>
      <c r="X42" s="548"/>
      <c r="Y42" s="344"/>
      <c r="Z42" s="547"/>
      <c r="AA42" s="583"/>
      <c r="AC42" s="606"/>
      <c r="AD42" s="583"/>
      <c r="AE42" s="344" t="s">
        <v>266</v>
      </c>
      <c r="AF42" s="606"/>
      <c r="AG42" s="583"/>
      <c r="AI42" s="606"/>
      <c r="AJ42" s="583"/>
      <c r="AL42" s="606"/>
      <c r="AM42" s="583"/>
      <c r="AO42" s="606"/>
      <c r="AP42" s="583"/>
      <c r="AR42" s="606"/>
      <c r="AS42" s="583"/>
      <c r="AT42" s="344" t="s">
        <v>266</v>
      </c>
      <c r="AU42" s="606"/>
      <c r="AV42" s="583"/>
      <c r="AX42" s="606"/>
      <c r="AY42" s="583"/>
      <c r="BA42" s="606"/>
      <c r="BB42" s="583"/>
      <c r="BD42" s="606"/>
      <c r="BE42" s="583"/>
      <c r="BG42" s="606"/>
      <c r="BH42" s="583"/>
      <c r="BJ42" s="606"/>
      <c r="BK42" s="583"/>
      <c r="BM42" s="606"/>
      <c r="BN42" s="583"/>
      <c r="BO42" s="344" t="s">
        <v>266</v>
      </c>
      <c r="BP42" s="606"/>
      <c r="BQ42" s="583"/>
      <c r="BS42" s="606"/>
      <c r="BT42" s="583"/>
      <c r="BV42" s="606"/>
      <c r="BW42" s="583"/>
      <c r="BY42" s="547" t="str">
        <f>'COUSSIN OTTOMAN'!D6</f>
        <v>TISSUS 300</v>
      </c>
      <c r="BZ42" s="548">
        <f>'COUSSIN OTTOMAN'!E6</f>
        <v>0.30499999999999999</v>
      </c>
      <c r="CB42" s="547" t="str">
        <f>'COUSSIN TETIERE'!D6</f>
        <v>TISSUS 300</v>
      </c>
      <c r="CC42" s="548">
        <f>'COUSSIN TETIERE'!E6</f>
        <v>0.18099999999999999</v>
      </c>
      <c r="CE42" s="547" t="str">
        <f>'ENS COUSSIN DOS VERSION TETIERE'!E6</f>
        <v>TISSUS 300</v>
      </c>
      <c r="CF42" s="548">
        <f>'ENS COUSSIN DOS VERSION TETIERE'!F6</f>
        <v>0.73499999999999999</v>
      </c>
      <c r="CH42" s="547" t="str">
        <f>'ENS COUSSIN DOSSIER'!E6</f>
        <v>TISSUS 300</v>
      </c>
      <c r="CI42" s="548">
        <f>'ENS COUSSIN DOSSIER'!F6</f>
        <v>0.71499999999999997</v>
      </c>
      <c r="CK42" s="547" t="str">
        <f>'ENS COUSSIN ASSISE'!D6</f>
        <v>TISSUS 300</v>
      </c>
      <c r="CL42" s="548">
        <f>'ENS COUSSIN ASSISE'!E6</f>
        <v>0.39500000000000002</v>
      </c>
    </row>
    <row r="43" spans="1:90" s="510" customFormat="1" ht="43.2" x14ac:dyDescent="0.3">
      <c r="A43" s="821" t="s">
        <v>246</v>
      </c>
      <c r="B43" s="821">
        <f t="shared" si="3"/>
        <v>0.21099999999999999</v>
      </c>
      <c r="C43" s="943" t="s">
        <v>345</v>
      </c>
      <c r="D43" s="943"/>
      <c r="E43" s="943">
        <f>D43</f>
        <v>0</v>
      </c>
      <c r="F43" s="821" t="s">
        <v>342</v>
      </c>
      <c r="G43" s="943"/>
      <c r="H43" s="469"/>
      <c r="I43" s="469"/>
      <c r="J43" s="390"/>
      <c r="K43" s="549"/>
      <c r="L43" s="390"/>
      <c r="M43" s="469"/>
      <c r="N43" s="549"/>
      <c r="O43" s="390"/>
      <c r="P43" s="469"/>
      <c r="Q43" s="549"/>
      <c r="R43" s="390"/>
      <c r="S43" s="469"/>
      <c r="T43" s="549"/>
      <c r="U43" s="390"/>
      <c r="V43" s="469"/>
      <c r="W43" s="549"/>
      <c r="X43" s="390"/>
      <c r="Y43" s="469"/>
      <c r="Z43" s="549"/>
      <c r="AA43" s="584"/>
      <c r="AC43" s="607"/>
      <c r="AD43" s="584"/>
      <c r="AE43" s="469" t="s">
        <v>246</v>
      </c>
      <c r="AF43" s="607"/>
      <c r="AG43" s="584"/>
      <c r="AI43" s="607"/>
      <c r="AJ43" s="584"/>
      <c r="AL43" s="607"/>
      <c r="AM43" s="584"/>
      <c r="AO43" s="607"/>
      <c r="AP43" s="584"/>
      <c r="AR43" s="607"/>
      <c r="AS43" s="584"/>
      <c r="AT43" s="469" t="s">
        <v>246</v>
      </c>
      <c r="AU43" s="607"/>
      <c r="AV43" s="584"/>
      <c r="AX43" s="607"/>
      <c r="AY43" s="584"/>
      <c r="BA43" s="549" t="str">
        <f>'ENS STOWAGE LATERAL'!D12</f>
        <v>CUIR 850</v>
      </c>
      <c r="BB43" s="390">
        <f>'ENS STOWAGE LATERAL'!E12</f>
        <v>0.112</v>
      </c>
      <c r="BD43" s="549" t="str">
        <f>'MANCHETTE ACC MOBILE'!D8</f>
        <v>ULTRA LEATHER 330</v>
      </c>
      <c r="BE43" s="390">
        <f>'MANCHETTE ACC MOBILE'!E8</f>
        <v>3.9E-2</v>
      </c>
      <c r="BG43" s="549" t="str">
        <f>'MANCHETTE EQUIPEE'!D8</f>
        <v>ULTRA LEATHER 330</v>
      </c>
      <c r="BH43" s="390">
        <f>'MANCHETTE EQUIPEE'!E8</f>
        <v>0.06</v>
      </c>
      <c r="BJ43" s="607"/>
      <c r="BK43" s="584"/>
      <c r="BM43" s="607"/>
      <c r="BN43" s="584"/>
      <c r="BO43" s="469" t="s">
        <v>246</v>
      </c>
      <c r="BP43" s="607"/>
      <c r="BQ43" s="584"/>
      <c r="BS43" s="607"/>
      <c r="BT43" s="584"/>
      <c r="BV43" s="607"/>
      <c r="BW43" s="584"/>
      <c r="BY43" s="607"/>
      <c r="BZ43" s="584"/>
      <c r="CB43" s="607"/>
      <c r="CC43" s="584"/>
      <c r="CE43" s="607"/>
      <c r="CF43" s="584"/>
      <c r="CH43" s="607"/>
      <c r="CI43" s="584"/>
      <c r="CK43" s="607"/>
      <c r="CL43" s="584"/>
    </row>
    <row r="44" spans="1:90" s="500" customFormat="1" ht="28.8" x14ac:dyDescent="0.3">
      <c r="A44" s="800" t="s">
        <v>254</v>
      </c>
      <c r="B44" s="800">
        <f t="shared" si="3"/>
        <v>0</v>
      </c>
      <c r="C44" s="944"/>
      <c r="D44" s="944" t="s">
        <v>346</v>
      </c>
      <c r="E44" s="944" t="str">
        <f>D44</f>
        <v>80% Polyester
20% Polyurethane</v>
      </c>
      <c r="F44" s="800" t="s">
        <v>342</v>
      </c>
      <c r="G44" s="944"/>
      <c r="H44" s="304"/>
      <c r="I44" s="304"/>
      <c r="J44" s="306"/>
      <c r="K44" s="550"/>
      <c r="L44" s="306"/>
      <c r="M44" s="304"/>
      <c r="N44" s="550"/>
      <c r="O44" s="306"/>
      <c r="P44" s="304"/>
      <c r="Q44" s="550"/>
      <c r="R44" s="306"/>
      <c r="S44" s="304"/>
      <c r="T44" s="550"/>
      <c r="U44" s="306"/>
      <c r="V44" s="304"/>
      <c r="W44" s="550"/>
      <c r="X44" s="306"/>
      <c r="Y44" s="304"/>
      <c r="Z44" s="550"/>
      <c r="AA44" s="585"/>
      <c r="AC44" s="608"/>
      <c r="AD44" s="585"/>
      <c r="AE44" s="304" t="s">
        <v>254</v>
      </c>
      <c r="AF44" s="608"/>
      <c r="AG44" s="585"/>
      <c r="AI44" s="608"/>
      <c r="AJ44" s="585"/>
      <c r="AL44" s="608"/>
      <c r="AM44" s="585"/>
      <c r="AO44" s="608"/>
      <c r="AP44" s="585"/>
      <c r="AR44" s="608"/>
      <c r="AS44" s="585"/>
      <c r="AT44" s="304" t="s">
        <v>254</v>
      </c>
      <c r="AU44" s="608"/>
      <c r="AV44" s="585"/>
      <c r="AX44" s="608"/>
      <c r="AY44" s="585"/>
      <c r="BA44" s="608"/>
      <c r="BB44" s="585"/>
      <c r="BD44" s="608"/>
      <c r="BE44" s="585"/>
      <c r="BG44" s="608"/>
      <c r="BH44" s="585"/>
      <c r="BJ44" s="608"/>
      <c r="BK44" s="585"/>
      <c r="BM44" s="608"/>
      <c r="BN44" s="585"/>
      <c r="BO44" s="304" t="s">
        <v>254</v>
      </c>
      <c r="BP44" s="608"/>
      <c r="BQ44" s="585"/>
      <c r="BS44" s="608"/>
      <c r="BT44" s="585"/>
      <c r="BV44" s="608"/>
      <c r="BW44" s="585"/>
      <c r="BY44" s="608"/>
      <c r="BZ44" s="585"/>
      <c r="CB44" s="608"/>
      <c r="CC44" s="585"/>
      <c r="CE44" s="608"/>
      <c r="CF44" s="585"/>
      <c r="CH44" s="608"/>
      <c r="CI44" s="585"/>
      <c r="CK44" s="608"/>
      <c r="CL44" s="585"/>
    </row>
    <row r="45" spans="1:90" s="505" customFormat="1" ht="28.8" x14ac:dyDescent="0.3">
      <c r="A45" s="917" t="s">
        <v>36</v>
      </c>
      <c r="B45" s="917">
        <f t="shared" si="3"/>
        <v>0.48799999999999999</v>
      </c>
      <c r="C45" s="945" t="s">
        <v>347</v>
      </c>
      <c r="D45" s="945" t="s">
        <v>348</v>
      </c>
      <c r="E45" s="945" t="str">
        <f>D45</f>
        <v>RER: Epoxy resin</v>
      </c>
      <c r="F45" s="917" t="s">
        <v>349</v>
      </c>
      <c r="G45" s="945" t="s">
        <v>328</v>
      </c>
      <c r="H45" s="497"/>
      <c r="I45" s="497"/>
      <c r="J45" s="401"/>
      <c r="K45" s="474" t="str">
        <f>COQUE!D7</f>
        <v>RESINE_BR623_P4</v>
      </c>
      <c r="L45" s="401">
        <f>COQUE!E7</f>
        <v>0.48799999999999999</v>
      </c>
      <c r="M45" s="497"/>
      <c r="N45" s="557"/>
      <c r="O45" s="401"/>
      <c r="P45" s="497"/>
      <c r="Q45" s="557"/>
      <c r="R45" s="401"/>
      <c r="S45" s="497"/>
      <c r="T45" s="557"/>
      <c r="U45" s="401"/>
      <c r="V45" s="497"/>
      <c r="W45" s="557"/>
      <c r="X45" s="401"/>
      <c r="Y45" s="497"/>
      <c r="Z45" s="557"/>
      <c r="AA45" s="586"/>
      <c r="AC45" s="609"/>
      <c r="AD45" s="586"/>
      <c r="AE45" s="470" t="s">
        <v>36</v>
      </c>
      <c r="AF45" s="609"/>
      <c r="AG45" s="586"/>
      <c r="AI45" s="609"/>
      <c r="AJ45" s="586"/>
      <c r="AL45" s="609"/>
      <c r="AM45" s="586"/>
      <c r="AO45" s="609"/>
      <c r="AP45" s="586"/>
      <c r="AR45" s="609"/>
      <c r="AS45" s="586"/>
      <c r="AT45" s="470" t="s">
        <v>36</v>
      </c>
      <c r="AU45" s="609"/>
      <c r="AV45" s="586"/>
      <c r="AX45" s="609"/>
      <c r="AY45" s="586"/>
      <c r="BA45" s="609"/>
      <c r="BB45" s="586"/>
      <c r="BD45" s="609"/>
      <c r="BE45" s="586"/>
      <c r="BG45" s="609"/>
      <c r="BH45" s="586"/>
      <c r="BJ45" s="609"/>
      <c r="BK45" s="586"/>
      <c r="BM45" s="609"/>
      <c r="BN45" s="586"/>
      <c r="BO45" s="470" t="s">
        <v>36</v>
      </c>
      <c r="BP45" s="609"/>
      <c r="BQ45" s="586"/>
      <c r="BS45" s="609"/>
      <c r="BT45" s="586"/>
      <c r="BV45" s="609"/>
      <c r="BW45" s="586"/>
      <c r="BY45" s="609"/>
      <c r="BZ45" s="586"/>
      <c r="CB45" s="609"/>
      <c r="CC45" s="586"/>
      <c r="CE45" s="609"/>
      <c r="CF45" s="586"/>
      <c r="CH45" s="609"/>
      <c r="CI45" s="586"/>
      <c r="CK45" s="609"/>
      <c r="CL45" s="586"/>
    </row>
    <row r="46" spans="1:90" s="509" customFormat="1" ht="28.8" x14ac:dyDescent="0.3">
      <c r="A46" s="797" t="s">
        <v>256</v>
      </c>
      <c r="B46" s="797">
        <f t="shared" si="3"/>
        <v>1.4E-3</v>
      </c>
      <c r="C46" s="946" t="s">
        <v>350</v>
      </c>
      <c r="D46" s="946" t="s">
        <v>351</v>
      </c>
      <c r="E46" s="946" t="str">
        <f>D46</f>
        <v>DE: Silicon rubber</v>
      </c>
      <c r="F46" s="797" t="s">
        <v>349</v>
      </c>
      <c r="G46" s="946" t="s">
        <v>328</v>
      </c>
      <c r="H46" s="471"/>
      <c r="I46" s="471"/>
      <c r="J46" s="406"/>
      <c r="K46" s="551"/>
      <c r="L46" s="406"/>
      <c r="M46" s="471"/>
      <c r="N46" s="551"/>
      <c r="O46" s="406"/>
      <c r="P46" s="471"/>
      <c r="Q46" s="551"/>
      <c r="R46" s="406"/>
      <c r="S46" s="471"/>
      <c r="T46" s="551" t="str">
        <f>'ENS TABLETTE REPAS'!D12</f>
        <v>SILICONE 50 SHORE</v>
      </c>
      <c r="U46" s="560">
        <f>'ENS TABLETTE REPAS'!E12</f>
        <v>6.9999999999999999E-4</v>
      </c>
      <c r="V46" s="471"/>
      <c r="W46" s="551" t="str">
        <f>'STOWAGE ASSEMBLE AVEC PORTE'!D12</f>
        <v>SILICONE 50 SHORE</v>
      </c>
      <c r="X46" s="560">
        <f>'STOWAGE ASSEMBLE AVEC PORTE'!E12</f>
        <v>6.9999999999999999E-4</v>
      </c>
      <c r="Y46" s="471"/>
      <c r="Z46" s="551"/>
      <c r="AA46" s="587"/>
      <c r="AC46" s="610"/>
      <c r="AD46" s="587"/>
      <c r="AE46" s="471" t="s">
        <v>256</v>
      </c>
      <c r="AF46" s="610"/>
      <c r="AG46" s="587"/>
      <c r="AI46" s="610"/>
      <c r="AJ46" s="587"/>
      <c r="AL46" s="610"/>
      <c r="AM46" s="587"/>
      <c r="AO46" s="610"/>
      <c r="AP46" s="587"/>
      <c r="AR46" s="610"/>
      <c r="AS46" s="587"/>
      <c r="AT46" s="471" t="s">
        <v>256</v>
      </c>
      <c r="AU46" s="610"/>
      <c r="AV46" s="587"/>
      <c r="AX46" s="610"/>
      <c r="AY46" s="587"/>
      <c r="BA46" s="610"/>
      <c r="BB46" s="587"/>
      <c r="BD46" s="610"/>
      <c r="BE46" s="587"/>
      <c r="BG46" s="610"/>
      <c r="BH46" s="587"/>
      <c r="BJ46" s="610"/>
      <c r="BK46" s="587"/>
      <c r="BM46" s="610"/>
      <c r="BN46" s="587"/>
      <c r="BO46" s="471" t="s">
        <v>256</v>
      </c>
      <c r="BP46" s="610"/>
      <c r="BQ46" s="587"/>
      <c r="BS46" s="610"/>
      <c r="BT46" s="587"/>
      <c r="BV46" s="610"/>
      <c r="BW46" s="587"/>
      <c r="BY46" s="610"/>
      <c r="BZ46" s="587"/>
      <c r="CB46" s="610"/>
      <c r="CC46" s="587"/>
      <c r="CE46" s="610"/>
      <c r="CF46" s="587"/>
      <c r="CH46" s="610"/>
      <c r="CI46" s="587"/>
      <c r="CK46" s="610"/>
      <c r="CL46" s="587"/>
    </row>
    <row r="47" spans="1:90" s="479" customFormat="1" ht="43.2" x14ac:dyDescent="0.3">
      <c r="A47" s="820" t="s">
        <v>249</v>
      </c>
      <c r="B47" s="820">
        <f t="shared" si="3"/>
        <v>9.4E-2</v>
      </c>
      <c r="C47" s="947" t="s">
        <v>352</v>
      </c>
      <c r="D47" s="947" t="s">
        <v>353</v>
      </c>
      <c r="E47" s="947" t="str">
        <f>D47</f>
        <v>EU28: Polyurethane flexible foam, with flame retardant</v>
      </c>
      <c r="F47" s="820" t="s">
        <v>342</v>
      </c>
      <c r="G47" s="947" t="s">
        <v>328</v>
      </c>
      <c r="H47" s="472"/>
      <c r="I47" s="472"/>
      <c r="J47" s="399"/>
      <c r="K47" s="552"/>
      <c r="L47" s="399"/>
      <c r="M47" s="472"/>
      <c r="N47" s="552"/>
      <c r="O47" s="399"/>
      <c r="P47" s="472"/>
      <c r="Q47" s="552"/>
      <c r="R47" s="399"/>
      <c r="S47" s="472"/>
      <c r="T47" s="552"/>
      <c r="U47" s="399"/>
      <c r="V47" s="472"/>
      <c r="W47" s="552"/>
      <c r="X47" s="399"/>
      <c r="Y47" s="472"/>
      <c r="Z47" s="552"/>
      <c r="AA47" s="588"/>
      <c r="AC47" s="611"/>
      <c r="AD47" s="588"/>
      <c r="AE47" s="472" t="s">
        <v>249</v>
      </c>
      <c r="AF47" s="611"/>
      <c r="AG47" s="588"/>
      <c r="AI47" s="611"/>
      <c r="AJ47" s="588"/>
      <c r="AL47" s="611"/>
      <c r="AM47" s="588"/>
      <c r="AO47" s="611"/>
      <c r="AP47" s="588"/>
      <c r="AR47" s="611"/>
      <c r="AS47" s="588"/>
      <c r="AT47" s="472" t="s">
        <v>249</v>
      </c>
      <c r="AU47" s="611"/>
      <c r="AV47" s="588"/>
      <c r="AX47" s="611"/>
      <c r="AY47" s="588"/>
      <c r="BA47" s="552" t="str">
        <f>'ENS STOWAGE LATERAL'!D11</f>
        <v>FRMC55</v>
      </c>
      <c r="BB47" s="399">
        <f>'ENS STOWAGE LATERAL'!E11</f>
        <v>1.6E-2</v>
      </c>
      <c r="BD47" s="552" t="str">
        <f>'MANCHETTE ACC MOBILE'!D7</f>
        <v>FRMC55</v>
      </c>
      <c r="BE47" s="399">
        <f>'MANCHETTE ACC MOBILE'!E7</f>
        <v>3.9E-2</v>
      </c>
      <c r="BG47" s="552" t="str">
        <f>'MANCHETTE EQUIPEE'!D7</f>
        <v>FRMC55</v>
      </c>
      <c r="BH47" s="399">
        <f>'MANCHETTE EQUIPEE'!E7</f>
        <v>3.9E-2</v>
      </c>
      <c r="BJ47" s="611"/>
      <c r="BK47" s="588"/>
      <c r="BM47" s="611"/>
      <c r="BN47" s="588"/>
      <c r="BO47" s="472" t="s">
        <v>249</v>
      </c>
      <c r="BP47" s="611"/>
      <c r="BQ47" s="588"/>
      <c r="BS47" s="611"/>
      <c r="BT47" s="588"/>
      <c r="BV47" s="611"/>
      <c r="BW47" s="588"/>
      <c r="BY47" s="611"/>
      <c r="BZ47" s="588"/>
      <c r="CB47" s="611"/>
      <c r="CC47" s="588"/>
      <c r="CE47" s="611"/>
      <c r="CF47" s="588"/>
      <c r="CH47" s="611"/>
      <c r="CI47" s="588"/>
      <c r="CK47" s="611"/>
      <c r="CL47" s="588"/>
    </row>
    <row r="48" spans="1:90" s="488" customFormat="1" ht="28.8" x14ac:dyDescent="0.3">
      <c r="A48" s="828" t="s">
        <v>250</v>
      </c>
      <c r="B48" s="828">
        <f t="shared" si="3"/>
        <v>12.380999999999998</v>
      </c>
      <c r="C48" s="948" t="s">
        <v>332</v>
      </c>
      <c r="D48" s="948" t="s">
        <v>332</v>
      </c>
      <c r="E48" s="948" t="s">
        <v>332</v>
      </c>
      <c r="F48" s="948" t="s">
        <v>334</v>
      </c>
      <c r="G48" s="948" t="s">
        <v>328</v>
      </c>
      <c r="H48" s="487"/>
      <c r="I48" s="487"/>
      <c r="J48" s="392"/>
      <c r="K48" s="475" t="str">
        <f>COQUE!D6</f>
        <v>PANNEAU_NIDA/LAMINA_EP12,7</v>
      </c>
      <c r="L48" s="392">
        <f>COQUE!E6</f>
        <v>8.4390000000000001</v>
      </c>
      <c r="M48" s="487"/>
      <c r="N48" s="558"/>
      <c r="O48" s="392"/>
      <c r="P48" s="487"/>
      <c r="Q48" s="558"/>
      <c r="R48" s="392"/>
      <c r="S48" s="487"/>
      <c r="T48" s="558"/>
      <c r="U48" s="392"/>
      <c r="V48" s="487"/>
      <c r="W48" s="558"/>
      <c r="X48" s="392"/>
      <c r="Y48" s="487"/>
      <c r="Z48" s="558"/>
      <c r="AA48" s="589"/>
      <c r="AC48" s="612"/>
      <c r="AD48" s="589"/>
      <c r="AE48" s="473" t="s">
        <v>250</v>
      </c>
      <c r="AF48" s="612"/>
      <c r="AG48" s="589"/>
      <c r="AI48" s="612"/>
      <c r="AJ48" s="589"/>
      <c r="AL48" s="612"/>
      <c r="AM48" s="589"/>
      <c r="AO48" s="612"/>
      <c r="AP48" s="589"/>
      <c r="AR48" s="612"/>
      <c r="AS48" s="589"/>
      <c r="AT48" s="473" t="s">
        <v>250</v>
      </c>
      <c r="AU48" s="612"/>
      <c r="AV48" s="589"/>
      <c r="AX48" s="612"/>
      <c r="AY48" s="589"/>
      <c r="BA48" s="612"/>
      <c r="BB48" s="589"/>
      <c r="BD48" s="612"/>
      <c r="BE48" s="589"/>
      <c r="BG48" s="612"/>
      <c r="BH48" s="589"/>
      <c r="BJ48" s="612"/>
      <c r="BK48" s="589"/>
      <c r="BM48" s="612"/>
      <c r="BN48" s="589"/>
      <c r="BO48" s="473" t="s">
        <v>250</v>
      </c>
      <c r="BP48" s="612"/>
      <c r="BQ48" s="589"/>
      <c r="BS48" s="612"/>
      <c r="BT48" s="589"/>
      <c r="BV48" s="612"/>
      <c r="BW48" s="589"/>
      <c r="BY48" s="558" t="str">
        <f>'COUSSIN OTTOMAN'!D5</f>
        <v>FRMC55</v>
      </c>
      <c r="BZ48" s="392">
        <f>'COUSSIN OTTOMAN'!E5</f>
        <v>1.0049999999999999</v>
      </c>
      <c r="CB48" s="558" t="str">
        <f>'COUSSIN TETIERE'!D5</f>
        <v>FRMC55</v>
      </c>
      <c r="CC48" s="392">
        <f>'COUSSIN TETIERE'!E5</f>
        <v>0.121</v>
      </c>
      <c r="CE48" s="558" t="str">
        <f>'ENS COUSSIN DOS VERSION TETIERE'!E5</f>
        <v>FRMC55</v>
      </c>
      <c r="CF48" s="392">
        <f>'ENS COUSSIN DOS VERSION TETIERE'!F5</f>
        <v>0.85399999999999998</v>
      </c>
      <c r="CH48" s="558" t="str">
        <f>'ENS COUSSIN DOSSIER'!E5</f>
        <v>FRMC55</v>
      </c>
      <c r="CI48" s="392">
        <f>'ENS COUSSIN DOSSIER'!F5</f>
        <v>1.091</v>
      </c>
      <c r="CK48" s="558" t="str">
        <f>'ENS COUSSIN ASSISE'!D5</f>
        <v>FRMC55</v>
      </c>
      <c r="CL48" s="392">
        <f>'ENS COUSSIN ASSISE'!E5</f>
        <v>0.871</v>
      </c>
    </row>
    <row r="49" spans="1:90" s="154" customFormat="1" ht="28.8" x14ac:dyDescent="0.3">
      <c r="A49" s="826" t="s">
        <v>277</v>
      </c>
      <c r="B49" s="826">
        <f t="shared" si="3"/>
        <v>0.01</v>
      </c>
      <c r="C49" s="949" t="s">
        <v>354</v>
      </c>
      <c r="D49" s="949" t="s">
        <v>355</v>
      </c>
      <c r="E49" s="949" t="str">
        <f t="shared" ref="E49:E60" si="4">D49</f>
        <v>DE: Chloroprene rubber</v>
      </c>
      <c r="F49" s="826" t="s">
        <v>342</v>
      </c>
      <c r="G49" s="949" t="s">
        <v>328</v>
      </c>
      <c r="H49" s="155"/>
      <c r="I49" s="155"/>
      <c r="J49" s="554"/>
      <c r="K49" s="553"/>
      <c r="L49" s="554"/>
      <c r="M49" s="155"/>
      <c r="N49" s="553"/>
      <c r="O49" s="554"/>
      <c r="P49" s="155"/>
      <c r="Q49" s="553"/>
      <c r="R49" s="554"/>
      <c r="S49" s="155"/>
      <c r="T49" s="553"/>
      <c r="U49" s="554"/>
      <c r="V49" s="155"/>
      <c r="W49" s="553"/>
      <c r="X49" s="554"/>
      <c r="Y49" s="155"/>
      <c r="Z49" s="553"/>
      <c r="AA49" s="590"/>
      <c r="AC49" s="613"/>
      <c r="AD49" s="590"/>
      <c r="AE49" s="155" t="s">
        <v>277</v>
      </c>
      <c r="AF49" s="613"/>
      <c r="AG49" s="590"/>
      <c r="AI49" s="613"/>
      <c r="AJ49" s="590"/>
      <c r="AL49" s="613"/>
      <c r="AM49" s="590"/>
      <c r="AO49" s="613"/>
      <c r="AP49" s="590"/>
      <c r="AR49" s="613"/>
      <c r="AS49" s="590"/>
      <c r="AT49" s="155" t="s">
        <v>277</v>
      </c>
      <c r="AU49" s="613"/>
      <c r="AV49" s="590"/>
      <c r="AX49" s="613"/>
      <c r="AY49" s="590"/>
      <c r="BA49" s="613"/>
      <c r="BB49" s="590"/>
      <c r="BD49" s="613"/>
      <c r="BE49" s="590"/>
      <c r="BG49" s="613"/>
      <c r="BH49" s="590"/>
      <c r="BJ49" s="613"/>
      <c r="BK49" s="590"/>
      <c r="BM49" s="613"/>
      <c r="BN49" s="590"/>
      <c r="BO49" s="155" t="s">
        <v>277</v>
      </c>
      <c r="BP49" s="613"/>
      <c r="BQ49" s="590"/>
      <c r="BS49" s="553" t="str">
        <f>'ENS STRUCTURE FIXE'!D12</f>
        <v>CAOUTCHOUC</v>
      </c>
      <c r="BT49" s="554">
        <f>'ENS STRUCTURE FIXE'!E12</f>
        <v>0.01</v>
      </c>
      <c r="BV49" s="613"/>
      <c r="BW49" s="590"/>
      <c r="BY49" s="613"/>
      <c r="BZ49" s="590"/>
      <c r="CB49" s="613"/>
      <c r="CC49" s="590"/>
      <c r="CE49" s="613"/>
      <c r="CF49" s="590"/>
      <c r="CH49" s="613"/>
      <c r="CI49" s="590"/>
      <c r="CK49" s="613"/>
      <c r="CL49" s="590"/>
    </row>
    <row r="50" spans="1:90" s="485" customFormat="1" ht="29.4" thickBot="1" x14ac:dyDescent="0.35">
      <c r="A50" s="824" t="s">
        <v>279</v>
      </c>
      <c r="B50" s="824">
        <f t="shared" si="3"/>
        <v>2E-3</v>
      </c>
      <c r="C50" s="950" t="s">
        <v>325</v>
      </c>
      <c r="D50" s="950" t="s">
        <v>326</v>
      </c>
      <c r="E50" s="950" t="str">
        <f t="shared" si="4"/>
        <v>EU28: Polyamide 6.6</v>
      </c>
      <c r="F50" s="824" t="s">
        <v>327</v>
      </c>
      <c r="G50" s="950" t="s">
        <v>328</v>
      </c>
      <c r="H50" s="559"/>
      <c r="I50" s="559"/>
      <c r="J50" s="556"/>
      <c r="K50" s="555"/>
      <c r="L50" s="556"/>
      <c r="M50" s="484"/>
      <c r="N50" s="555"/>
      <c r="O50" s="556"/>
      <c r="P50" s="484"/>
      <c r="Q50" s="555"/>
      <c r="R50" s="556"/>
      <c r="S50" s="484"/>
      <c r="T50" s="555"/>
      <c r="U50" s="556"/>
      <c r="V50" s="484"/>
      <c r="W50" s="555"/>
      <c r="X50" s="556"/>
      <c r="Y50" s="484"/>
      <c r="Z50" s="555"/>
      <c r="AA50" s="591"/>
      <c r="AC50" s="614"/>
      <c r="AD50" s="591"/>
      <c r="AE50" s="484" t="s">
        <v>279</v>
      </c>
      <c r="AF50" s="614"/>
      <c r="AG50" s="591"/>
      <c r="AI50" s="614"/>
      <c r="AJ50" s="591"/>
      <c r="AL50" s="614"/>
      <c r="AM50" s="591"/>
      <c r="AO50" s="614"/>
      <c r="AP50" s="591"/>
      <c r="AR50" s="614"/>
      <c r="AS50" s="591"/>
      <c r="AT50" s="484" t="s">
        <v>279</v>
      </c>
      <c r="AU50" s="614"/>
      <c r="AV50" s="591"/>
      <c r="AX50" s="614"/>
      <c r="AY50" s="591"/>
      <c r="BA50" s="614"/>
      <c r="BB50" s="591"/>
      <c r="BD50" s="614"/>
      <c r="BE50" s="591"/>
      <c r="BG50" s="614"/>
      <c r="BH50" s="591"/>
      <c r="BJ50" s="614"/>
      <c r="BK50" s="591"/>
      <c r="BM50" s="614"/>
      <c r="BN50" s="591"/>
      <c r="BO50" s="484" t="s">
        <v>279</v>
      </c>
      <c r="BP50" s="614"/>
      <c r="BQ50" s="591"/>
      <c r="BS50" s="555" t="str">
        <f>'ENS STRUCTURE FIXE'!D11</f>
        <v>POLYAMIDE 6,6</v>
      </c>
      <c r="BT50" s="635">
        <f>'ENS STRUCTURE FIXE'!E11</f>
        <v>2E-3</v>
      </c>
      <c r="BV50" s="614"/>
      <c r="BW50" s="591"/>
      <c r="BY50" s="614"/>
      <c r="BZ50" s="591"/>
      <c r="CB50" s="614"/>
      <c r="CC50" s="591"/>
      <c r="CE50" s="614"/>
      <c r="CF50" s="591"/>
      <c r="CH50" s="614"/>
      <c r="CI50" s="591"/>
      <c r="CK50" s="614"/>
      <c r="CL50" s="591"/>
    </row>
    <row r="51" spans="1:90" ht="28.8" x14ac:dyDescent="0.3">
      <c r="A51" s="33" t="s">
        <v>281</v>
      </c>
      <c r="B51" s="33">
        <f t="shared" ref="B51:B52" si="5">SUM(F51,I51,L51,O51,R51,U51,X51,AA51,AD51,AG51,AJ51,AM51,AP51,AS51,AV51,AY51,BB51,BE51,BH51,BK51,BN51,BQ51,BT51,BW51,BZ51,CC51,CF51,CI51)</f>
        <v>1.3839999999999999</v>
      </c>
      <c r="C51" s="49" t="s">
        <v>356</v>
      </c>
      <c r="D51" s="49" t="s">
        <v>339</v>
      </c>
      <c r="E51" s="49" t="str">
        <f t="shared" si="4"/>
        <v>EU28: Polycarbonate</v>
      </c>
      <c r="F51" s="49" t="s">
        <v>334</v>
      </c>
      <c r="G51" s="49" t="s">
        <v>328</v>
      </c>
      <c r="W51" s="3"/>
      <c r="BS51" s="3" t="str">
        <f>'ENS PORTE'!D10</f>
        <v>KYDEX 5555</v>
      </c>
      <c r="BT51" s="3">
        <f>'ENS PORTE'!E10</f>
        <v>1.3839999999999999</v>
      </c>
    </row>
    <row r="52" spans="1:90" ht="28.8" x14ac:dyDescent="0.3">
      <c r="A52" s="33" t="s">
        <v>357</v>
      </c>
      <c r="B52" s="33">
        <f t="shared" si="5"/>
        <v>0.39200000000000002</v>
      </c>
      <c r="C52" s="49" t="s">
        <v>358</v>
      </c>
      <c r="D52" s="49" t="s">
        <v>333</v>
      </c>
      <c r="E52" s="49" t="str">
        <f t="shared" si="4"/>
        <v>RER: Polyvinyl chloride film (PVC)</v>
      </c>
      <c r="F52" s="49" t="s">
        <v>334</v>
      </c>
      <c r="G52" s="49" t="s">
        <v>328</v>
      </c>
      <c r="W52" s="3"/>
      <c r="BS52" s="196" t="str">
        <f>'ENS PORTE'!D11</f>
        <v>FILM DECOR AERFILM - Ep0.33 714g-m2</v>
      </c>
      <c r="BT52" s="518">
        <f>'ENS PORTE'!E11</f>
        <v>0.39200000000000002</v>
      </c>
    </row>
    <row r="53" spans="1:90" ht="28.8" x14ac:dyDescent="0.3">
      <c r="A53" s="33" t="s">
        <v>251</v>
      </c>
      <c r="B53" s="33">
        <f>SUMIF(BOM!D:D,"BOIS",BOM!G:G)</f>
        <v>41.297517200474495</v>
      </c>
      <c r="C53" s="49"/>
      <c r="D53" s="49" t="s">
        <v>359</v>
      </c>
      <c r="E53" s="49" t="str">
        <f t="shared" si="4"/>
        <v>EU28: Plywood board</v>
      </c>
      <c r="F53" s="33" t="s">
        <v>342</v>
      </c>
      <c r="G53" s="49" t="s">
        <v>342</v>
      </c>
      <c r="W53" s="3"/>
    </row>
    <row r="54" spans="1:90" ht="28.8" x14ac:dyDescent="0.3">
      <c r="A54" s="896" t="s">
        <v>257</v>
      </c>
      <c r="B54" s="896">
        <f>SUMIF(BOM!D:D,"CARTON",BOM!G:G)</f>
        <v>29.075713884934753</v>
      </c>
      <c r="C54" s="896" t="s">
        <v>360</v>
      </c>
      <c r="D54" s="896" t="s">
        <v>361</v>
      </c>
      <c r="E54" s="965" t="str">
        <f t="shared" si="4"/>
        <v>EU28: Carton from folding boxboard</v>
      </c>
      <c r="F54" s="896" t="s">
        <v>342</v>
      </c>
      <c r="G54" s="965" t="s">
        <v>342</v>
      </c>
      <c r="W54" s="3"/>
    </row>
    <row r="55" spans="1:90" ht="28.8" x14ac:dyDescent="0.3">
      <c r="A55" s="897" t="s">
        <v>362</v>
      </c>
      <c r="B55" s="897">
        <f>SUMIF(BOM!D:D,"MOUSSE",BOM!G:G)</f>
        <v>1.008561684460261E-2</v>
      </c>
      <c r="C55" s="966"/>
      <c r="D55" s="897" t="s">
        <v>363</v>
      </c>
      <c r="E55" s="966" t="str">
        <f t="shared" si="4"/>
        <v>EU28: Expanded polyethylene foam</v>
      </c>
      <c r="F55" s="897" t="s">
        <v>342</v>
      </c>
      <c r="G55" s="966" t="s">
        <v>342</v>
      </c>
    </row>
    <row r="56" spans="1:90" x14ac:dyDescent="0.3">
      <c r="A56" s="898" t="s">
        <v>268</v>
      </c>
      <c r="B56" s="898">
        <f>SUMIF(BOM!D:D,"PALETTE",BOM!G:G)</f>
        <v>35.411666666666669</v>
      </c>
      <c r="C56" s="898" t="s">
        <v>364</v>
      </c>
      <c r="D56" s="898"/>
      <c r="E56" s="967" t="str">
        <f>C56</f>
        <v>Flat pallet</v>
      </c>
      <c r="F56" s="898" t="s">
        <v>342</v>
      </c>
      <c r="G56" s="967" t="s">
        <v>342</v>
      </c>
    </row>
    <row r="57" spans="1:90" ht="28.8" x14ac:dyDescent="0.3">
      <c r="A57" s="899" t="s">
        <v>272</v>
      </c>
      <c r="B57" s="899">
        <f>SUMIF(BOM!D:D,"PAPIER BULLE",BOM!G:G)</f>
        <v>2.1041666666666665</v>
      </c>
      <c r="C57" s="968"/>
      <c r="D57" s="899" t="s">
        <v>365</v>
      </c>
      <c r="E57" s="968" t="str">
        <f t="shared" si="4"/>
        <v>RER: Polyethylene film (PE-LD)</v>
      </c>
      <c r="F57" s="899" t="s">
        <v>342</v>
      </c>
      <c r="G57" s="968" t="s">
        <v>342</v>
      </c>
    </row>
    <row r="58" spans="1:90" x14ac:dyDescent="0.3">
      <c r="A58" s="900" t="s">
        <v>366</v>
      </c>
      <c r="B58" s="900">
        <f>SUMIF(BOM!D:D,"PAPIER GAUFFRE",BOM!G:G)</f>
        <v>9.4166666666666662E-2</v>
      </c>
      <c r="C58" s="969"/>
      <c r="D58" s="900" t="s">
        <v>367</v>
      </c>
      <c r="E58" s="969" t="str">
        <f t="shared" si="4"/>
        <v>EU25: Graphic paper</v>
      </c>
      <c r="F58" s="900" t="s">
        <v>342</v>
      </c>
      <c r="G58" s="969" t="s">
        <v>342</v>
      </c>
    </row>
    <row r="59" spans="1:90" x14ac:dyDescent="0.3">
      <c r="A59" s="901" t="s">
        <v>278</v>
      </c>
      <c r="B59" s="901">
        <f>SUMIF(BOM!D:D,"PAPIER INTERCALAIRE",BOM!G:G)</f>
        <v>1.6666666666666666E-2</v>
      </c>
      <c r="C59" s="970"/>
      <c r="D59" s="901" t="s">
        <v>367</v>
      </c>
      <c r="E59" s="970" t="str">
        <f t="shared" si="4"/>
        <v>EU25: Graphic paper</v>
      </c>
      <c r="F59" s="901" t="s">
        <v>342</v>
      </c>
      <c r="G59" s="970" t="s">
        <v>342</v>
      </c>
    </row>
    <row r="60" spans="1:90" x14ac:dyDescent="0.3">
      <c r="A60" s="902" t="s">
        <v>280</v>
      </c>
      <c r="B60" s="902">
        <f>SUMIF(BOM!D:D,"PAPIER KRAFT",BOM!G:G)</f>
        <v>0.37916666666666671</v>
      </c>
      <c r="C60" s="971"/>
      <c r="D60" s="902" t="s">
        <v>367</v>
      </c>
      <c r="E60" s="971" t="str">
        <f t="shared" si="4"/>
        <v>EU25: Graphic paper</v>
      </c>
      <c r="F60" s="902" t="s">
        <v>342</v>
      </c>
      <c r="G60" s="971" t="s">
        <v>342</v>
      </c>
    </row>
    <row r="61" spans="1:90" x14ac:dyDescent="0.3">
      <c r="A61" s="983" t="s">
        <v>368</v>
      </c>
      <c r="B61" s="983">
        <f>SUMIF(BOM!D:D,"FILM PLASTIQUE",BOM!G:G)</f>
        <v>1.8600399999999999</v>
      </c>
      <c r="C61" s="984"/>
      <c r="D61" s="983"/>
      <c r="E61" s="984"/>
      <c r="F61" s="983" t="s">
        <v>342</v>
      </c>
      <c r="G61" s="984" t="s">
        <v>342</v>
      </c>
    </row>
    <row r="62" spans="1:90" ht="100.8" x14ac:dyDescent="0.3">
      <c r="A62" s="34" t="s">
        <v>369</v>
      </c>
      <c r="B62" s="33"/>
      <c r="C62" s="49" t="s">
        <v>370</v>
      </c>
      <c r="D62" s="49"/>
      <c r="E62" s="49" t="str">
        <f>C62</f>
        <v>Passivation CrVI, steel sheet, processing - adapté en remplaçant le sodium dichromate (CrVI) par du Chromite ore</v>
      </c>
      <c r="F62" s="33" t="s">
        <v>342</v>
      </c>
      <c r="G62" s="49" t="s">
        <v>342</v>
      </c>
    </row>
    <row r="63" spans="1:90" ht="57.6" x14ac:dyDescent="0.3">
      <c r="A63" s="34" t="s">
        <v>371</v>
      </c>
      <c r="B63" s="33"/>
      <c r="C63" s="49"/>
      <c r="D63" s="49" t="s">
        <v>372</v>
      </c>
      <c r="E63" s="49" t="str">
        <f>D63</f>
        <v xml:space="preserve">70% EU25: Copper wire
30%: DE: PTFE granulate </v>
      </c>
      <c r="F63" s="33" t="s">
        <v>342</v>
      </c>
      <c r="G63" s="49" t="s">
        <v>342</v>
      </c>
    </row>
    <row r="64" spans="1:90" x14ac:dyDescent="0.3">
      <c r="A64" s="34" t="s">
        <v>373</v>
      </c>
      <c r="B64" s="33">
        <f>BOM!G221</f>
        <v>2.5680000000000001</v>
      </c>
      <c r="C64" s="49"/>
      <c r="D64" s="982" t="s">
        <v>374</v>
      </c>
      <c r="E64" s="49"/>
      <c r="F64" s="33"/>
      <c r="G64" s="49"/>
    </row>
    <row r="65" spans="1:7" x14ac:dyDescent="0.3">
      <c r="A65" s="34" t="s">
        <v>375</v>
      </c>
      <c r="B65" s="33">
        <f>BOM!G224</f>
        <v>0.9</v>
      </c>
      <c r="C65" s="49"/>
      <c r="D65" s="34" t="s">
        <v>376</v>
      </c>
      <c r="E65" s="49"/>
      <c r="F65" s="33"/>
      <c r="G65" s="49"/>
    </row>
    <row r="66" spans="1:7" ht="43.2" x14ac:dyDescent="0.3">
      <c r="A66" s="34" t="s">
        <v>377</v>
      </c>
      <c r="B66" s="33">
        <f>BOM!G230</f>
        <v>1.5</v>
      </c>
      <c r="C66" s="49" t="s">
        <v>378</v>
      </c>
      <c r="D66" s="31"/>
      <c r="E66" s="49" t="str">
        <f t="shared" ref="E66:E69" si="6">C66</f>
        <v>Power supply unit, at plant, CN U (fit for mass needed)</v>
      </c>
      <c r="F66" s="33" t="s">
        <v>342</v>
      </c>
      <c r="G66" s="49" t="s">
        <v>342</v>
      </c>
    </row>
    <row r="67" spans="1:7" ht="57.6" x14ac:dyDescent="0.3">
      <c r="A67" s="34" t="s">
        <v>379</v>
      </c>
      <c r="B67" s="33">
        <f>BOM!G233+BOM!G236</f>
        <v>2.3780000000000001</v>
      </c>
      <c r="C67" s="49" t="s">
        <v>380</v>
      </c>
      <c r="D67" s="769"/>
      <c r="E67" s="49" t="str">
        <f t="shared" si="6"/>
        <v>Display, liquid crystal, 17 inches {GLO} market for (fit for mass needed)</v>
      </c>
      <c r="F67" s="33" t="s">
        <v>342</v>
      </c>
      <c r="G67" s="49" t="s">
        <v>342</v>
      </c>
    </row>
    <row r="68" spans="1:7" ht="43.2" x14ac:dyDescent="0.3">
      <c r="A68" s="34" t="s">
        <v>381</v>
      </c>
      <c r="B68" s="33">
        <f>BOM!G239</f>
        <v>0.8</v>
      </c>
      <c r="C68" s="49" t="s">
        <v>382</v>
      </c>
      <c r="D68" s="771"/>
      <c r="E68" s="49" t="str">
        <f t="shared" si="6"/>
        <v>Light emitting diode {GLO} market for APOS, U</v>
      </c>
      <c r="F68" s="33" t="s">
        <v>342</v>
      </c>
      <c r="G68" s="49" t="s">
        <v>342</v>
      </c>
    </row>
    <row r="69" spans="1:7" ht="28.8" x14ac:dyDescent="0.3">
      <c r="A69" s="34" t="s">
        <v>383</v>
      </c>
      <c r="B69" s="33">
        <f>BOM!G242</f>
        <v>0.2</v>
      </c>
      <c r="C69" s="49" t="s">
        <v>384</v>
      </c>
      <c r="D69" s="771"/>
      <c r="E69" s="49" t="str">
        <f t="shared" si="6"/>
        <v>Keyboard {GLO} Market for APOS U</v>
      </c>
      <c r="F69" s="33" t="s">
        <v>342</v>
      </c>
      <c r="G69" s="49" t="s">
        <v>342</v>
      </c>
    </row>
    <row r="70" spans="1:7" ht="43.2" x14ac:dyDescent="0.3">
      <c r="A70" s="34" t="s">
        <v>385</v>
      </c>
      <c r="B70" s="33">
        <f>BOM!G245</f>
        <v>7.0000000000000007E-2</v>
      </c>
      <c r="C70" s="49" t="s">
        <v>386</v>
      </c>
      <c r="D70" s="31"/>
      <c r="E70" s="49" t="s">
        <v>385</v>
      </c>
      <c r="F70" s="33" t="s">
        <v>342</v>
      </c>
      <c r="G70" s="49" t="s">
        <v>342</v>
      </c>
    </row>
    <row r="71" spans="1:7" ht="28.8" x14ac:dyDescent="0.3">
      <c r="A71" s="34" t="s">
        <v>387</v>
      </c>
      <c r="B71" s="49">
        <f>BOM!G248+BOM!G251</f>
        <v>2.25</v>
      </c>
      <c r="C71" s="49" t="s">
        <v>387</v>
      </c>
      <c r="D71" s="769"/>
      <c r="E71" s="49" t="str">
        <f>C71</f>
        <v>70% Al 6000 - 30% Analog PCB</v>
      </c>
      <c r="F71" s="33" t="s">
        <v>342</v>
      </c>
      <c r="G71" s="49" t="s">
        <v>342</v>
      </c>
    </row>
    <row r="72" spans="1:7" ht="43.2" x14ac:dyDescent="0.3">
      <c r="A72" s="34" t="s">
        <v>388</v>
      </c>
      <c r="B72" s="49">
        <f>BOM!G254</f>
        <v>2.5000000000000001E-3</v>
      </c>
      <c r="C72" s="49" t="s">
        <v>389</v>
      </c>
      <c r="D72" s="769"/>
      <c r="E72" s="49" t="str">
        <f>C72</f>
        <v>kraft paper {RER}| market for kraft paper | APOS, U</v>
      </c>
      <c r="F72" s="33"/>
      <c r="G72" s="49"/>
    </row>
    <row r="73" spans="1:7" x14ac:dyDescent="0.3">
      <c r="A73" s="34" t="s">
        <v>390</v>
      </c>
      <c r="B73" s="49" t="e">
        <f>BOM!G262</f>
        <v>#REF!</v>
      </c>
      <c r="C73" s="49"/>
      <c r="D73" s="769"/>
      <c r="E73" s="49"/>
      <c r="F73" s="33"/>
      <c r="G73" s="49"/>
    </row>
    <row r="74" spans="1:7" ht="86.4" x14ac:dyDescent="0.3">
      <c r="A74" s="34" t="s">
        <v>391</v>
      </c>
      <c r="B74" s="33" t="s">
        <v>392</v>
      </c>
      <c r="C74" s="49" t="s">
        <v>393</v>
      </c>
      <c r="D74" s="31"/>
      <c r="E74" s="49" t="str">
        <f>C74</f>
        <v>All-purpose cleaners and sanitary cleaners (limites planétaires, 500mL) =&gt; Nettoyage/siège/an</v>
      </c>
      <c r="F74" s="33" t="s">
        <v>342</v>
      </c>
      <c r="G74" s="49" t="s">
        <v>342</v>
      </c>
    </row>
    <row r="75" spans="1:7" ht="86.4" x14ac:dyDescent="0.3">
      <c r="A75" s="34" t="s">
        <v>394</v>
      </c>
      <c r="B75" s="33" t="s">
        <v>395</v>
      </c>
      <c r="C75" s="49" t="s">
        <v>393</v>
      </c>
      <c r="D75" s="31"/>
      <c r="E75" s="49" t="str">
        <f>C75</f>
        <v>All-purpose cleaners and sanitary cleaners (limites planétaires, 500mL) =&gt; Nettoyage/siège/an</v>
      </c>
      <c r="F75" s="33" t="s">
        <v>342</v>
      </c>
      <c r="G75" s="49" t="s">
        <v>342</v>
      </c>
    </row>
  </sheetData>
  <pageMargins left="0.7" right="0.7" top="0.75" bottom="0.75" header="0.3" footer="0.3"/>
  <pageSetup paperSize="9" orientation="portrait"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Z264"/>
  <sheetViews>
    <sheetView zoomScale="83" zoomScaleNormal="100" workbookViewId="0">
      <pane xSplit="1" ySplit="1" topLeftCell="H202" activePane="bottomRight" state="frozen"/>
      <selection pane="topRight" activeCell="B1" sqref="B1"/>
      <selection pane="bottomLeft" activeCell="A2" sqref="A2"/>
      <selection pane="bottomRight" activeCell="I199" sqref="I199"/>
    </sheetView>
  </sheetViews>
  <sheetFormatPr baseColWidth="10" defaultColWidth="11.44140625" defaultRowHeight="14.4" x14ac:dyDescent="0.3"/>
  <cols>
    <col min="1" max="1" width="27.109375" customWidth="1"/>
    <col min="2" max="2" width="20.88671875" customWidth="1"/>
    <col min="3" max="3" width="17" customWidth="1"/>
    <col min="4" max="4" width="34" bestFit="1" customWidth="1"/>
    <col min="5" max="6" width="34" style="23" customWidth="1"/>
    <col min="7" max="7" width="12" bestFit="1" customWidth="1"/>
    <col min="8" max="8" width="12" customWidth="1"/>
    <col min="9" max="9" width="17.6640625" customWidth="1"/>
    <col min="10" max="10" width="18.5546875" customWidth="1"/>
    <col min="11" max="11" width="18.5546875" style="23" customWidth="1"/>
    <col min="12" max="14" width="11.5546875" customWidth="1"/>
    <col min="15" max="15" width="26.88671875" customWidth="1"/>
    <col min="16" max="16" width="25.5546875" style="1" customWidth="1"/>
    <col min="17" max="17" width="38.88671875" style="1" customWidth="1"/>
    <col min="18" max="18" width="51.6640625" style="1" customWidth="1"/>
    <col min="19" max="19" width="22.109375" style="1" bestFit="1" customWidth="1"/>
    <col min="20" max="22" width="22.109375" style="1" customWidth="1"/>
    <col min="23" max="23" width="33.6640625" style="1" bestFit="1" customWidth="1"/>
    <col min="25" max="25" width="20.6640625" bestFit="1" customWidth="1"/>
  </cols>
  <sheetData>
    <row r="1" spans="1:26" s="142" customFormat="1" ht="57.6" x14ac:dyDescent="0.3">
      <c r="A1" s="645" t="s">
        <v>396</v>
      </c>
      <c r="B1" s="639" t="s">
        <v>5</v>
      </c>
      <c r="C1" s="645" t="s">
        <v>7</v>
      </c>
      <c r="D1" s="639" t="s">
        <v>8</v>
      </c>
      <c r="E1" s="161" t="s">
        <v>397</v>
      </c>
      <c r="F1" s="161" t="s">
        <v>398</v>
      </c>
      <c r="G1" s="972" t="s">
        <v>399</v>
      </c>
      <c r="H1" s="161" t="s">
        <v>400</v>
      </c>
      <c r="I1" s="142" t="s">
        <v>401</v>
      </c>
      <c r="J1" s="639" t="s">
        <v>402</v>
      </c>
      <c r="K1" s="645" t="s">
        <v>403</v>
      </c>
      <c r="L1" s="639" t="s">
        <v>404</v>
      </c>
      <c r="M1" s="645" t="s">
        <v>405</v>
      </c>
      <c r="N1" s="639" t="s">
        <v>406</v>
      </c>
      <c r="O1" s="639" t="s">
        <v>407</v>
      </c>
      <c r="P1" s="639" t="s">
        <v>11</v>
      </c>
      <c r="Q1" s="639" t="s">
        <v>12</v>
      </c>
      <c r="R1" s="639" t="s">
        <v>13</v>
      </c>
      <c r="S1" s="832" t="s">
        <v>408</v>
      </c>
      <c r="T1" s="832" t="s">
        <v>409</v>
      </c>
      <c r="U1" s="832" t="s">
        <v>410</v>
      </c>
      <c r="V1" s="832" t="s">
        <v>23</v>
      </c>
      <c r="W1" s="639" t="s">
        <v>16</v>
      </c>
      <c r="X1" s="832" t="s">
        <v>17</v>
      </c>
      <c r="Y1" s="30" t="s">
        <v>411</v>
      </c>
      <c r="Z1" s="142" t="s">
        <v>412</v>
      </c>
    </row>
    <row r="2" spans="1:26" ht="72" x14ac:dyDescent="0.3">
      <c r="A2" s="769" t="s">
        <v>39</v>
      </c>
      <c r="B2" s="769" t="s">
        <v>40</v>
      </c>
      <c r="C2" s="49"/>
      <c r="D2" s="772" t="s">
        <v>47</v>
      </c>
      <c r="E2" s="49" t="str">
        <f>VLOOKUP(BOM!D2,'RECAP MATIERE'!$A$17:$G$75,5,FALSE)</f>
        <v>EU28: AlCu4MgSi extrusion profile
ou EU28: AlCU4MgTi ingot
ou EU28 AlCu4Mg1  sheet</v>
      </c>
      <c r="F2" s="49" t="str">
        <f>VLOOKUP(BOM!D2,'RECAP MATIERE'!$A$17:$G$75,6,FALSE)</f>
        <v>DE: Aluminium cast part machining
+ SURTEC 650</v>
      </c>
      <c r="G2" s="773">
        <v>12.761099999999999</v>
      </c>
      <c r="H2" s="773">
        <f>L2/G2</f>
        <v>5.8037316532273868</v>
      </c>
      <c r="I2" s="773"/>
      <c r="J2" s="772">
        <v>62.688000000000002</v>
      </c>
      <c r="K2" s="49" t="str">
        <f>VLOOKUP(BOM!D2,'RECAP MATIERE'!$A$17:$G$75,7,FALSE)</f>
        <v>EU28: Aluminium remelting: wrought alloy ingot from scrap</v>
      </c>
      <c r="L2" s="772">
        <v>74.061999999999998</v>
      </c>
      <c r="M2" s="772" t="s">
        <v>413</v>
      </c>
      <c r="N2" s="772">
        <v>0.82499999999999996</v>
      </c>
      <c r="O2" s="772" t="s">
        <v>51</v>
      </c>
      <c r="P2" s="30" t="s">
        <v>414</v>
      </c>
      <c r="Q2" s="30" t="s">
        <v>42</v>
      </c>
      <c r="R2" s="32" t="s">
        <v>415</v>
      </c>
      <c r="S2" s="34" t="s">
        <v>416</v>
      </c>
      <c r="T2" s="34">
        <v>0</v>
      </c>
      <c r="U2" s="34">
        <v>1</v>
      </c>
      <c r="V2" s="34">
        <v>2.5</v>
      </c>
      <c r="W2" s="35">
        <v>9917</v>
      </c>
      <c r="X2" s="660" t="s">
        <v>44</v>
      </c>
      <c r="Y2" s="34"/>
      <c r="Z2">
        <f>W2*SUM(G2:G14)*10^-3</f>
        <v>256.31577369999997</v>
      </c>
    </row>
    <row r="3" spans="1:26" ht="72" x14ac:dyDescent="0.3">
      <c r="A3" s="769" t="s">
        <v>39</v>
      </c>
      <c r="B3" s="769" t="s">
        <v>40</v>
      </c>
      <c r="C3" s="49"/>
      <c r="D3" s="774" t="s">
        <v>252</v>
      </c>
      <c r="E3" s="49" t="str">
        <f>VLOOKUP(BOM!D3,'RECAP MATIERE'!$A$17:$G$75,5,FALSE)</f>
        <v>EU28 AlCu4Mg1  sheet</v>
      </c>
      <c r="F3" s="49" t="str">
        <f>VLOOKUP(BOM!D3,'RECAP MATIERE'!$A$17:$G$75,6,FALSE)</f>
        <v>DE: Aluminium cast part machining
+ SURTEC 650</v>
      </c>
      <c r="G3" s="774">
        <v>5.6589999999999989</v>
      </c>
      <c r="H3" s="773">
        <f t="shared" ref="H3:H66" si="0">L3/G3</f>
        <v>4.1305884431878432</v>
      </c>
      <c r="I3" s="774"/>
      <c r="J3" s="774">
        <v>18.257999999999999</v>
      </c>
      <c r="K3" s="49" t="str">
        <f>VLOOKUP(BOM!D3,'RECAP MATIERE'!$A$17:$G$75,7,FALSE)</f>
        <v>EU28: Aluminium remelting: wrought alloy ingot from scrap</v>
      </c>
      <c r="L3" s="774">
        <v>23.375</v>
      </c>
      <c r="M3" s="774" t="s">
        <v>413</v>
      </c>
      <c r="N3" s="774">
        <v>0.52</v>
      </c>
      <c r="O3" s="774" t="s">
        <v>51</v>
      </c>
      <c r="P3" s="30" t="s">
        <v>414</v>
      </c>
      <c r="Q3" s="30" t="s">
        <v>42</v>
      </c>
      <c r="R3" s="32" t="s">
        <v>415</v>
      </c>
      <c r="S3" s="34" t="s">
        <v>416</v>
      </c>
      <c r="T3" s="34">
        <v>0</v>
      </c>
      <c r="U3" s="34">
        <v>1</v>
      </c>
      <c r="V3" s="34">
        <v>2.5</v>
      </c>
      <c r="W3" s="35"/>
      <c r="X3" s="660" t="s">
        <v>44</v>
      </c>
      <c r="Y3" s="34"/>
    </row>
    <row r="4" spans="1:26" ht="72" x14ac:dyDescent="0.3">
      <c r="A4" s="769" t="s">
        <v>39</v>
      </c>
      <c r="B4" s="769" t="s">
        <v>40</v>
      </c>
      <c r="C4" s="49"/>
      <c r="D4" s="775" t="s">
        <v>91</v>
      </c>
      <c r="E4" s="49" t="str">
        <f>VLOOKUP(BOM!D4,'RECAP MATIERE'!$A$17:$G$75,5,FALSE)</f>
        <v>EU28: AlMg4.5 sheet</v>
      </c>
      <c r="F4" s="49" t="str">
        <f>VLOOKUP(BOM!D4,'RECAP MATIERE'!$A$17:$G$75,6,FALSE)</f>
        <v>DE: Aluminium cast part machining
GLO: Steel sheet stamping and bending</v>
      </c>
      <c r="G4" s="776">
        <v>0.45799999999999996</v>
      </c>
      <c r="H4" s="773">
        <f t="shared" si="0"/>
        <v>0</v>
      </c>
      <c r="I4" s="776"/>
      <c r="J4" s="770"/>
      <c r="K4" s="49" t="str">
        <f>VLOOKUP(BOM!D4,'RECAP MATIERE'!$A$17:$G$75,7,FALSE)</f>
        <v>EU28: Aluminium remelting: wrought alloy ingot from scrap</v>
      </c>
      <c r="L4" s="770"/>
      <c r="M4" s="770"/>
      <c r="N4" s="770"/>
      <c r="O4" s="777"/>
      <c r="P4" s="30" t="s">
        <v>414</v>
      </c>
      <c r="Q4" s="30" t="s">
        <v>42</v>
      </c>
      <c r="R4" s="32" t="s">
        <v>415</v>
      </c>
      <c r="S4" s="34" t="s">
        <v>416</v>
      </c>
      <c r="T4" s="34">
        <v>0</v>
      </c>
      <c r="U4" s="34">
        <v>1</v>
      </c>
      <c r="V4" s="34">
        <v>2.5</v>
      </c>
      <c r="W4" s="35"/>
      <c r="X4" s="660" t="s">
        <v>44</v>
      </c>
      <c r="Y4" s="34"/>
    </row>
    <row r="5" spans="1:26" ht="28.8" x14ac:dyDescent="0.3">
      <c r="A5" s="769" t="s">
        <v>39</v>
      </c>
      <c r="B5" s="769" t="s">
        <v>40</v>
      </c>
      <c r="C5" s="49"/>
      <c r="D5" s="375" t="s">
        <v>270</v>
      </c>
      <c r="E5" s="49" t="str">
        <f>VLOOKUP(BOM!D5,'RECAP MATIERE'!$A$17:$G$75,5,FALSE)</f>
        <v>EU: Steel tinplated</v>
      </c>
      <c r="F5" s="49" t="str">
        <f>VLOOKUP(BOM!D5,'RECAP MATIERE'!$A$17:$G$75,6,FALSE)</f>
        <v>DE: Aluminium cast part machining
+ TTH compris dans le steel tinplated</v>
      </c>
      <c r="G5" s="375">
        <v>1.4169999999999996</v>
      </c>
      <c r="H5" s="773">
        <f t="shared" si="0"/>
        <v>0</v>
      </c>
      <c r="I5" s="375"/>
      <c r="J5" s="770"/>
      <c r="K5" s="49" t="str">
        <f>VLOOKUP(BOM!D5,'RECAP MATIERE'!$A$17:$G$75,7,FALSE)</f>
        <v>Crédit?</v>
      </c>
      <c r="L5" s="770"/>
      <c r="M5" s="770"/>
      <c r="N5" s="770"/>
      <c r="O5" s="777"/>
      <c r="P5" s="30" t="s">
        <v>414</v>
      </c>
      <c r="Q5" s="30" t="s">
        <v>42</v>
      </c>
      <c r="R5" s="32" t="s">
        <v>415</v>
      </c>
      <c r="S5" s="34" t="s">
        <v>416</v>
      </c>
      <c r="T5" s="34">
        <v>0</v>
      </c>
      <c r="U5" s="34">
        <v>1</v>
      </c>
      <c r="V5" s="34">
        <v>2.5</v>
      </c>
      <c r="W5" s="35"/>
      <c r="X5" s="660" t="s">
        <v>44</v>
      </c>
      <c r="Y5" s="34"/>
    </row>
    <row r="6" spans="1:26" ht="28.8" x14ac:dyDescent="0.3">
      <c r="A6" s="769" t="s">
        <v>39</v>
      </c>
      <c r="B6" s="769" t="s">
        <v>40</v>
      </c>
      <c r="C6" s="49"/>
      <c r="D6" s="371" t="s">
        <v>244</v>
      </c>
      <c r="E6" s="49" t="str">
        <f>VLOOKUP(BOM!D6,'RECAP MATIERE'!$A$17:$G$75,5,FALSE)</f>
        <v>EU28: Stainless steel cold rolled coil 304 (18,5% Cr, 9% Ni)</v>
      </c>
      <c r="F6" s="49" t="str">
        <f>VLOOKUP(BOM!D6,'RECAP MATIERE'!$A$17:$G$75,6,FALSE)</f>
        <v>DE: Aluminium cast part machining
+ TTH compris dans le steel tinplated</v>
      </c>
      <c r="G6" s="778">
        <v>4.5000000000000005E-2</v>
      </c>
      <c r="H6" s="773">
        <f t="shared" si="0"/>
        <v>0</v>
      </c>
      <c r="I6" s="778"/>
      <c r="J6" s="770"/>
      <c r="K6" s="49" t="str">
        <f>VLOOKUP(BOM!D6,'RECAP MATIERE'!$A$17:$G$75,7,FALSE)</f>
        <v>Crédit?</v>
      </c>
      <c r="L6" s="770"/>
      <c r="M6" s="770"/>
      <c r="N6" s="770"/>
      <c r="O6" s="777"/>
      <c r="P6" s="30" t="s">
        <v>414</v>
      </c>
      <c r="Q6" s="30" t="s">
        <v>42</v>
      </c>
      <c r="R6" s="32" t="s">
        <v>415</v>
      </c>
      <c r="S6" s="34" t="s">
        <v>416</v>
      </c>
      <c r="T6" s="34">
        <v>0</v>
      </c>
      <c r="U6" s="34">
        <v>1</v>
      </c>
      <c r="V6" s="34">
        <v>2.5</v>
      </c>
      <c r="W6" s="35"/>
      <c r="X6" s="660" t="s">
        <v>44</v>
      </c>
      <c r="Y6" s="34"/>
    </row>
    <row r="7" spans="1:26" ht="28.8" x14ac:dyDescent="0.3">
      <c r="A7" s="769" t="s">
        <v>39</v>
      </c>
      <c r="B7" s="769" t="s">
        <v>40</v>
      </c>
      <c r="C7" s="49"/>
      <c r="D7" s="372" t="s">
        <v>253</v>
      </c>
      <c r="E7" s="49" t="str">
        <f>VLOOKUP(BOM!D7,'RECAP MATIERE'!$A$17:$G$75,5,FALSE)</f>
        <v>EU: Steel tinplated</v>
      </c>
      <c r="F7" s="49" t="str">
        <f>VLOOKUP(BOM!D7,'RECAP MATIERE'!$A$17:$G$75,6,FALSE)</f>
        <v>DE: Aluminium cast part machining
+ TTH compris dans le steel tinplated</v>
      </c>
      <c r="G7" s="372">
        <v>1.6869999999999981</v>
      </c>
      <c r="H7" s="773">
        <f t="shared" si="0"/>
        <v>0</v>
      </c>
      <c r="I7" s="372"/>
      <c r="J7" s="770"/>
      <c r="K7" s="49" t="str">
        <f>VLOOKUP(BOM!D7,'RECAP MATIERE'!$A$17:$G$75,7,FALSE)</f>
        <v>Crédit?</v>
      </c>
      <c r="L7" s="770"/>
      <c r="M7" s="770"/>
      <c r="N7" s="770"/>
      <c r="O7" s="777"/>
      <c r="P7" s="30" t="s">
        <v>414</v>
      </c>
      <c r="Q7" s="30" t="s">
        <v>42</v>
      </c>
      <c r="R7" s="32" t="s">
        <v>415</v>
      </c>
      <c r="S7" s="34" t="s">
        <v>416</v>
      </c>
      <c r="T7" s="34">
        <v>0</v>
      </c>
      <c r="U7" s="34">
        <v>1</v>
      </c>
      <c r="V7" s="34">
        <v>2.5</v>
      </c>
      <c r="W7" s="35"/>
      <c r="X7" s="660" t="s">
        <v>44</v>
      </c>
      <c r="Y7" s="34"/>
    </row>
    <row r="8" spans="1:26" ht="28.8" x14ac:dyDescent="0.3">
      <c r="A8" s="769" t="s">
        <v>39</v>
      </c>
      <c r="B8" s="769" t="s">
        <v>40</v>
      </c>
      <c r="C8" s="49"/>
      <c r="D8" s="779" t="s">
        <v>288</v>
      </c>
      <c r="E8" s="49" t="s">
        <v>417</v>
      </c>
      <c r="F8" s="49" t="e">
        <f>VLOOKUP(BOM!D8,'RECAP MATIERE'!$A$17:$G$75,6,FALSE)</f>
        <v>#N/A</v>
      </c>
      <c r="G8" s="779">
        <v>0.308</v>
      </c>
      <c r="H8" s="773">
        <f t="shared" si="0"/>
        <v>0</v>
      </c>
      <c r="I8" s="779"/>
      <c r="J8" s="770"/>
      <c r="K8" s="49" t="e">
        <f>VLOOKUP(BOM!D8,'RECAP MATIERE'!$A$17:$G$75,7,FALSE)</f>
        <v>#N/A</v>
      </c>
      <c r="L8" s="770"/>
      <c r="M8" s="770"/>
      <c r="N8" s="770"/>
      <c r="O8" s="777"/>
      <c r="P8" s="30" t="s">
        <v>414</v>
      </c>
      <c r="Q8" s="30" t="s">
        <v>42</v>
      </c>
      <c r="R8" s="32" t="s">
        <v>415</v>
      </c>
      <c r="S8" s="34" t="s">
        <v>416</v>
      </c>
      <c r="T8" s="34">
        <v>0</v>
      </c>
      <c r="U8" s="34">
        <v>1</v>
      </c>
      <c r="V8" s="34">
        <v>2.5</v>
      </c>
      <c r="W8" s="35"/>
      <c r="X8" s="660" t="s">
        <v>44</v>
      </c>
      <c r="Y8" s="34"/>
    </row>
    <row r="9" spans="1:26" ht="72" x14ac:dyDescent="0.3">
      <c r="A9" s="769" t="s">
        <v>39</v>
      </c>
      <c r="B9" s="769" t="s">
        <v>40</v>
      </c>
      <c r="C9" s="49"/>
      <c r="D9" s="780" t="s">
        <v>248</v>
      </c>
      <c r="E9" s="49" t="str">
        <f>VLOOKUP(BOM!D9,'RECAP MATIERE'!$A$17:$G$75,5,FALSE)</f>
        <v>EU28: Polyamide 6.6</v>
      </c>
      <c r="F9" s="49" t="str">
        <f>VLOOKUP(BOM!D9,'RECAP MATIERE'!$A$17:$G$75,6,FALSE)</f>
        <v>GLO: plastic injection moulding</v>
      </c>
      <c r="G9" s="781">
        <v>6.0000000000000001E-3</v>
      </c>
      <c r="H9" s="773">
        <f t="shared" si="0"/>
        <v>0</v>
      </c>
      <c r="I9" s="781"/>
      <c r="J9" s="770"/>
      <c r="K9" s="49" t="str">
        <f>VLOOKUP(BOM!D9,'RECAP MATIERE'!$A$17:$G$75,7,FALSE)</f>
        <v>[Nation] Plastics in waste incineration plants</v>
      </c>
      <c r="L9" s="770"/>
      <c r="M9" s="770"/>
      <c r="N9" s="770"/>
      <c r="O9" s="777"/>
      <c r="P9" s="30" t="s">
        <v>414</v>
      </c>
      <c r="Q9" s="30" t="s">
        <v>42</v>
      </c>
      <c r="R9" s="32" t="s">
        <v>415</v>
      </c>
      <c r="S9" s="34" t="s">
        <v>416</v>
      </c>
      <c r="T9" s="34">
        <v>0</v>
      </c>
      <c r="U9" s="34">
        <v>1</v>
      </c>
      <c r="V9" s="34">
        <v>2.5</v>
      </c>
      <c r="W9" s="35"/>
      <c r="X9" s="660" t="s">
        <v>44</v>
      </c>
      <c r="Y9" s="34"/>
    </row>
    <row r="10" spans="1:26" ht="72" x14ac:dyDescent="0.3">
      <c r="A10" s="769" t="s">
        <v>39</v>
      </c>
      <c r="B10" s="769" t="s">
        <v>40</v>
      </c>
      <c r="C10" s="49"/>
      <c r="D10" s="782" t="s">
        <v>247</v>
      </c>
      <c r="E10" s="49" t="str">
        <f>VLOOKUP(BOM!D10,'RECAP MATIERE'!$A$17:$G$75,5,FALSE)</f>
        <v>EU28: Polyurethane flexible foam, with flame retardant
EU28: PA6.6 fibres</v>
      </c>
      <c r="F10" s="49" t="str">
        <f>VLOOKUP(BOM!D10,'RECAP MATIERE'!$A$17:$G$75,6,FALSE)</f>
        <v>N/A</v>
      </c>
      <c r="G10" s="782">
        <v>6.0999999999999999E-2</v>
      </c>
      <c r="H10" s="773">
        <f t="shared" si="0"/>
        <v>0</v>
      </c>
      <c r="I10" s="782"/>
      <c r="J10" s="770"/>
      <c r="K10" s="49" t="str">
        <f>VLOOKUP(BOM!D10,'RECAP MATIERE'!$A$17:$G$75,7,FALSE)</f>
        <v>[Nation] Plastics in waste incineration plants</v>
      </c>
      <c r="L10" s="770"/>
      <c r="M10" s="770"/>
      <c r="N10" s="770"/>
      <c r="O10" s="777"/>
      <c r="P10" s="30" t="s">
        <v>414</v>
      </c>
      <c r="Q10" s="30" t="s">
        <v>42</v>
      </c>
      <c r="R10" s="32" t="s">
        <v>415</v>
      </c>
      <c r="S10" s="34" t="s">
        <v>416</v>
      </c>
      <c r="T10" s="34">
        <v>0</v>
      </c>
      <c r="U10" s="34">
        <v>1</v>
      </c>
      <c r="V10" s="34">
        <v>2.5</v>
      </c>
      <c r="W10" s="35"/>
      <c r="X10" s="660" t="s">
        <v>44</v>
      </c>
      <c r="Y10" s="34"/>
    </row>
    <row r="11" spans="1:26" ht="28.8" x14ac:dyDescent="0.3">
      <c r="A11" s="769" t="s">
        <v>39</v>
      </c>
      <c r="B11" s="769" t="s">
        <v>40</v>
      </c>
      <c r="C11" s="49"/>
      <c r="D11" s="376" t="s">
        <v>273</v>
      </c>
      <c r="E11" s="49" t="str">
        <f>VLOOKUP(BOM!D11,'RECAP MATIERE'!$A$17:$G$75,5,FALSE)</f>
        <v>EU28: Stainless steel cold rolled coil 304 (18,5% Cr, 9% Ni)</v>
      </c>
      <c r="F11" s="49" t="str">
        <f>VLOOKUP(BOM!D11,'RECAP MATIERE'!$A$17:$G$75,6,FALSE)</f>
        <v>DE: Aluminium cast part machining
+ TTH compris dans le steel tinplated</v>
      </c>
      <c r="G11" s="376">
        <v>0.86699999999999999</v>
      </c>
      <c r="H11" s="773">
        <f t="shared" si="0"/>
        <v>0</v>
      </c>
      <c r="I11" s="376"/>
      <c r="J11" s="770"/>
      <c r="K11" s="49" t="str">
        <f>VLOOKUP(BOM!D11,'RECAP MATIERE'!$A$17:$G$75,7,FALSE)</f>
        <v>Crédit?</v>
      </c>
      <c r="L11" s="770"/>
      <c r="M11" s="770"/>
      <c r="N11" s="770"/>
      <c r="O11" s="777"/>
      <c r="P11" s="30" t="s">
        <v>414</v>
      </c>
      <c r="Q11" s="30" t="s">
        <v>42</v>
      </c>
      <c r="R11" s="32" t="s">
        <v>415</v>
      </c>
      <c r="S11" s="34" t="s">
        <v>416</v>
      </c>
      <c r="T11" s="34">
        <v>0</v>
      </c>
      <c r="U11" s="34">
        <v>1</v>
      </c>
      <c r="V11" s="34">
        <v>2.5</v>
      </c>
      <c r="W11" s="35"/>
      <c r="X11" s="660" t="s">
        <v>44</v>
      </c>
      <c r="Y11" s="34"/>
    </row>
    <row r="12" spans="1:26" ht="28.8" x14ac:dyDescent="0.3">
      <c r="A12" s="769" t="s">
        <v>39</v>
      </c>
      <c r="B12" s="769" t="s">
        <v>40</v>
      </c>
      <c r="C12" s="49"/>
      <c r="D12" s="783" t="s">
        <v>276</v>
      </c>
      <c r="E12" s="49" t="str">
        <f>VLOOKUP(BOM!D12,'RECAP MATIERE'!$A$17:$G$75,5,FALSE)</f>
        <v>EU: Steel tinplated</v>
      </c>
      <c r="F12" s="49" t="str">
        <f>VLOOKUP(BOM!D12,'RECAP MATIERE'!$A$17:$G$75,6,FALSE)</f>
        <v>DE: Aluminium cast part machining
+ TTH compris dans le steel tinplated</v>
      </c>
      <c r="G12" s="783">
        <v>2E-3</v>
      </c>
      <c r="H12" s="773">
        <f t="shared" si="0"/>
        <v>0</v>
      </c>
      <c r="I12" s="783"/>
      <c r="J12" s="770"/>
      <c r="K12" s="49" t="str">
        <f>VLOOKUP(BOM!D12,'RECAP MATIERE'!$A$17:$G$75,7,FALSE)</f>
        <v>Crédit?</v>
      </c>
      <c r="L12" s="770"/>
      <c r="M12" s="770"/>
      <c r="N12" s="770"/>
      <c r="O12" s="777"/>
      <c r="P12" s="30" t="s">
        <v>414</v>
      </c>
      <c r="Q12" s="30" t="s">
        <v>42</v>
      </c>
      <c r="R12" s="32" t="s">
        <v>415</v>
      </c>
      <c r="S12" s="34" t="s">
        <v>416</v>
      </c>
      <c r="T12" s="34">
        <v>0</v>
      </c>
      <c r="U12" s="34">
        <v>1</v>
      </c>
      <c r="V12" s="34">
        <v>2.5</v>
      </c>
      <c r="W12" s="35"/>
      <c r="X12" s="660" t="s">
        <v>44</v>
      </c>
      <c r="Y12" s="34"/>
    </row>
    <row r="13" spans="1:26" ht="43.2" x14ac:dyDescent="0.3">
      <c r="A13" s="769" t="s">
        <v>39</v>
      </c>
      <c r="B13" s="769" t="s">
        <v>40</v>
      </c>
      <c r="C13" s="49"/>
      <c r="D13" s="784" t="s">
        <v>240</v>
      </c>
      <c r="E13" s="49" t="s">
        <v>418</v>
      </c>
      <c r="F13" s="49" t="str">
        <f>VLOOKUP(BOM!D13,'RECAP MATIERE'!$A$17:$G$75,6,FALSE)</f>
        <v>GLO: plastic injection moulding</v>
      </c>
      <c r="G13" s="784">
        <v>7.5000000000000011E-2</v>
      </c>
      <c r="H13" s="773">
        <f t="shared" si="0"/>
        <v>0</v>
      </c>
      <c r="I13" s="784"/>
      <c r="J13" s="770"/>
      <c r="K13" s="49" t="str">
        <f>VLOOKUP(BOM!D13,'RECAP MATIERE'!$A$17:$G$75,7,FALSE)</f>
        <v>[Nation] Plastics in waste incineration plants</v>
      </c>
      <c r="L13" s="770"/>
      <c r="M13" s="770"/>
      <c r="N13" s="770"/>
      <c r="O13" s="777"/>
      <c r="P13" s="30" t="s">
        <v>414</v>
      </c>
      <c r="Q13" s="30" t="s">
        <v>42</v>
      </c>
      <c r="R13" s="32" t="s">
        <v>415</v>
      </c>
      <c r="S13" s="34" t="s">
        <v>416</v>
      </c>
      <c r="T13" s="34">
        <v>0</v>
      </c>
      <c r="U13" s="34">
        <v>1</v>
      </c>
      <c r="V13" s="34">
        <v>2.5</v>
      </c>
      <c r="W13" s="35"/>
      <c r="X13" s="660" t="s">
        <v>44</v>
      </c>
      <c r="Y13" s="34"/>
    </row>
    <row r="14" spans="1:26" ht="72" x14ac:dyDescent="0.3">
      <c r="A14" s="769" t="s">
        <v>39</v>
      </c>
      <c r="B14" s="769" t="s">
        <v>243</v>
      </c>
      <c r="C14" s="49"/>
      <c r="D14" s="896" t="s">
        <v>419</v>
      </c>
      <c r="E14" s="49" t="str">
        <f>VLOOKUP(BOM!D14,'RECAP MATIERE'!$A$17:$G$75,5,FALSE)</f>
        <v>EU28: Carton from folding boxboard</v>
      </c>
      <c r="F14" s="49" t="str">
        <f>VLOOKUP(BOM!D14,'RECAP MATIERE'!$A$17:$G$75,6,FALSE)</f>
        <v>N/A</v>
      </c>
      <c r="G14" s="896">
        <f>I14</f>
        <v>2.5</v>
      </c>
      <c r="H14" s="773">
        <f t="shared" si="0"/>
        <v>0</v>
      </c>
      <c r="I14" s="896">
        <f>V13/U13</f>
        <v>2.5</v>
      </c>
      <c r="J14" s="770"/>
      <c r="K14" s="49" t="str">
        <f>VLOOKUP(BOM!D14,'RECAP MATIERE'!$A$17:$G$75,7,FALSE)</f>
        <v>N/A</v>
      </c>
      <c r="L14" s="770"/>
      <c r="M14" s="770"/>
      <c r="N14" s="770"/>
      <c r="O14" s="777"/>
      <c r="P14" s="30"/>
      <c r="Q14" s="30"/>
      <c r="R14" s="32" t="s">
        <v>415</v>
      </c>
      <c r="S14" s="34" t="s">
        <v>416</v>
      </c>
      <c r="T14" s="34"/>
      <c r="U14" s="34"/>
      <c r="V14" s="34"/>
      <c r="W14" s="35"/>
      <c r="X14" s="660"/>
      <c r="Y14" s="34"/>
    </row>
    <row r="15" spans="1:26" ht="57.6" x14ac:dyDescent="0.3">
      <c r="A15" s="769" t="s">
        <v>25</v>
      </c>
      <c r="B15" s="769" t="s">
        <v>26</v>
      </c>
      <c r="C15" s="785" t="s">
        <v>420</v>
      </c>
      <c r="D15" s="772" t="s">
        <v>47</v>
      </c>
      <c r="E15" s="49" t="str">
        <f>VLOOKUP(BOM!D15,'RECAP MATIERE'!$A$17:$G$75,5,FALSE)</f>
        <v>EU28: AlCu4MgSi extrusion profile
ou EU28: AlCU4MgTi ingot
ou EU28 AlCu4Mg1  sheet</v>
      </c>
      <c r="F15" s="49" t="str">
        <f>VLOOKUP(BOM!D15,'RECAP MATIERE'!$A$17:$G$75,6,FALSE)</f>
        <v>DE: Aluminium cast part machining
+ SURTEC 650</v>
      </c>
      <c r="G15" s="773">
        <v>8.0000000000000002E-3</v>
      </c>
      <c r="H15" s="773">
        <f t="shared" si="0"/>
        <v>0</v>
      </c>
      <c r="I15" s="773"/>
      <c r="J15" s="786"/>
      <c r="K15" s="49" t="str">
        <f>VLOOKUP(BOM!D15,'RECAP MATIERE'!$A$17:$G$75,7,FALSE)</f>
        <v>EU28: Aluminium remelting: wrought alloy ingot from scrap</v>
      </c>
      <c r="L15" s="34"/>
      <c r="M15" s="34"/>
      <c r="N15" s="34"/>
      <c r="O15" s="34"/>
      <c r="P15" s="30" t="s">
        <v>421</v>
      </c>
      <c r="Q15" s="30" t="s">
        <v>28</v>
      </c>
      <c r="R15" s="30" t="s">
        <v>422</v>
      </c>
      <c r="S15" s="34" t="s">
        <v>423</v>
      </c>
      <c r="T15" s="34">
        <v>0</v>
      </c>
      <c r="U15" s="34">
        <v>1</v>
      </c>
      <c r="V15" s="34">
        <v>31.6</v>
      </c>
      <c r="W15" s="30">
        <v>176</v>
      </c>
      <c r="X15" s="660" t="s">
        <v>30</v>
      </c>
      <c r="Y15" s="34"/>
    </row>
    <row r="16" spans="1:26" ht="43.2" x14ac:dyDescent="0.3">
      <c r="A16" s="903" t="s">
        <v>25</v>
      </c>
      <c r="B16" s="903" t="s">
        <v>26</v>
      </c>
      <c r="C16" s="904" t="s">
        <v>420</v>
      </c>
      <c r="D16" s="909" t="s">
        <v>250</v>
      </c>
      <c r="E16" s="49" t="str">
        <f>VLOOKUP(BOM!D16,'RECAP MATIERE'!$A$17:$G$75,5,FALSE)</f>
        <v>specific</v>
      </c>
      <c r="F16" s="49" t="str">
        <f>VLOOKUP(BOM!D16,'RECAP MATIERE'!$A$17:$G$75,6,FALSE)</f>
        <v>SIMAPRO : extrusion and thermoforming</v>
      </c>
      <c r="G16" s="779">
        <v>8.4390000000000001</v>
      </c>
      <c r="H16" s="773">
        <f t="shared" si="0"/>
        <v>0</v>
      </c>
      <c r="I16" s="779"/>
      <c r="J16" s="905"/>
      <c r="K16" s="49" t="str">
        <f>VLOOKUP(BOM!D16,'RECAP MATIERE'!$A$17:$G$75,7,FALSE)</f>
        <v>[Nation] Plastics in waste incineration plants</v>
      </c>
      <c r="L16" s="888"/>
      <c r="M16" s="888"/>
      <c r="N16" s="888"/>
      <c r="O16" s="906" t="s">
        <v>34</v>
      </c>
      <c r="P16" s="907" t="s">
        <v>421</v>
      </c>
      <c r="Q16" s="907" t="s">
        <v>28</v>
      </c>
      <c r="R16" s="907" t="s">
        <v>424</v>
      </c>
      <c r="S16" s="888" t="s">
        <v>423</v>
      </c>
      <c r="T16" s="888">
        <v>0</v>
      </c>
      <c r="U16" s="888">
        <v>1</v>
      </c>
      <c r="V16" s="888">
        <v>31.6</v>
      </c>
      <c r="W16" s="907">
        <v>176</v>
      </c>
      <c r="X16" s="908" t="s">
        <v>30</v>
      </c>
      <c r="Y16" s="888" t="s">
        <v>425</v>
      </c>
    </row>
    <row r="17" spans="1:25" ht="28.8" x14ac:dyDescent="0.3">
      <c r="A17" s="769" t="s">
        <v>25</v>
      </c>
      <c r="B17" s="769" t="s">
        <v>26</v>
      </c>
      <c r="C17" s="785" t="s">
        <v>420</v>
      </c>
      <c r="D17" s="787" t="s">
        <v>426</v>
      </c>
      <c r="E17" s="49" t="e">
        <f>VLOOKUP(BOM!D17,'RECAP MATIERE'!$A$17:$G$75,5,FALSE)</f>
        <v>#N/A</v>
      </c>
      <c r="F17" s="49" t="e">
        <f>VLOOKUP(BOM!D17,'RECAP MATIERE'!$A$17:$G$75,6,FALSE)</f>
        <v>#N/A</v>
      </c>
      <c r="G17" s="788" t="e">
        <f>8.439*#REF!</f>
        <v>#REF!</v>
      </c>
      <c r="H17" s="773" t="e">
        <f t="shared" si="0"/>
        <v>#REF!</v>
      </c>
      <c r="I17" s="788"/>
      <c r="J17" s="786"/>
      <c r="K17" s="49" t="e">
        <f>VLOOKUP(BOM!D17,'RECAP MATIERE'!$A$17:$G$75,7,FALSE)</f>
        <v>#N/A</v>
      </c>
      <c r="L17" s="34"/>
      <c r="M17" s="34"/>
      <c r="N17" s="34"/>
      <c r="O17" s="161"/>
      <c r="P17" s="30"/>
      <c r="Q17" s="30"/>
      <c r="R17" s="30" t="s">
        <v>422</v>
      </c>
      <c r="S17" s="34" t="s">
        <v>423</v>
      </c>
      <c r="T17" s="34"/>
      <c r="U17" s="34"/>
      <c r="V17" s="34"/>
      <c r="W17" s="30"/>
      <c r="X17" s="660"/>
      <c r="Y17" s="34"/>
    </row>
    <row r="18" spans="1:25" ht="28.8" x14ac:dyDescent="0.3">
      <c r="A18" s="769" t="s">
        <v>25</v>
      </c>
      <c r="B18" s="769" t="s">
        <v>26</v>
      </c>
      <c r="C18" s="785" t="s">
        <v>420</v>
      </c>
      <c r="D18" s="787" t="s">
        <v>427</v>
      </c>
      <c r="E18" s="49" t="e">
        <f>VLOOKUP(BOM!D18,'RECAP MATIERE'!$A$17:$G$75,5,FALSE)</f>
        <v>#N/A</v>
      </c>
      <c r="F18" s="49" t="e">
        <f>VLOOKUP(BOM!D18,'RECAP MATIERE'!$A$17:$G$75,6,FALSE)</f>
        <v>#N/A</v>
      </c>
      <c r="G18" s="788" t="e">
        <f>8.439*#REF!</f>
        <v>#REF!</v>
      </c>
      <c r="H18" s="773" t="e">
        <f t="shared" si="0"/>
        <v>#REF!</v>
      </c>
      <c r="I18" s="788"/>
      <c r="J18" s="786"/>
      <c r="K18" s="49" t="e">
        <f>VLOOKUP(BOM!D18,'RECAP MATIERE'!$A$17:$G$75,7,FALSE)</f>
        <v>#N/A</v>
      </c>
      <c r="L18" s="34"/>
      <c r="M18" s="34"/>
      <c r="N18" s="34"/>
      <c r="O18" s="161"/>
      <c r="P18" s="30"/>
      <c r="Q18" s="30"/>
      <c r="R18" s="30" t="s">
        <v>422</v>
      </c>
      <c r="S18" s="34" t="s">
        <v>423</v>
      </c>
      <c r="T18" s="34"/>
      <c r="U18" s="34"/>
      <c r="V18" s="34"/>
      <c r="W18" s="30"/>
      <c r="X18" s="660"/>
      <c r="Y18" s="34"/>
    </row>
    <row r="19" spans="1:25" ht="28.8" x14ac:dyDescent="0.3">
      <c r="A19" s="769" t="s">
        <v>25</v>
      </c>
      <c r="B19" s="769" t="s">
        <v>26</v>
      </c>
      <c r="C19" s="785" t="s">
        <v>420</v>
      </c>
      <c r="D19" s="787" t="s">
        <v>428</v>
      </c>
      <c r="E19" s="49" t="e">
        <f>VLOOKUP(BOM!D19,'RECAP MATIERE'!$A$17:$G$75,5,FALSE)</f>
        <v>#N/A</v>
      </c>
      <c r="F19" s="49" t="e">
        <f>VLOOKUP(BOM!D19,'RECAP MATIERE'!$A$17:$G$75,6,FALSE)</f>
        <v>#N/A</v>
      </c>
      <c r="G19" s="788" t="e">
        <f>8.439*#REF!</f>
        <v>#REF!</v>
      </c>
      <c r="H19" s="773" t="e">
        <f t="shared" si="0"/>
        <v>#REF!</v>
      </c>
      <c r="I19" s="788"/>
      <c r="J19" s="786"/>
      <c r="K19" s="49" t="e">
        <f>VLOOKUP(BOM!D19,'RECAP MATIERE'!$A$17:$G$75,7,FALSE)</f>
        <v>#N/A</v>
      </c>
      <c r="L19" s="34"/>
      <c r="M19" s="34"/>
      <c r="N19" s="34"/>
      <c r="O19" s="161"/>
      <c r="P19" s="30"/>
      <c r="Q19" s="30"/>
      <c r="R19" s="30" t="s">
        <v>422</v>
      </c>
      <c r="S19" s="34" t="s">
        <v>423</v>
      </c>
      <c r="T19" s="34"/>
      <c r="U19" s="34"/>
      <c r="V19" s="34"/>
      <c r="W19" s="30"/>
      <c r="X19" s="660"/>
      <c r="Y19" s="34"/>
    </row>
    <row r="20" spans="1:25" ht="28.8" x14ac:dyDescent="0.3">
      <c r="A20" s="769" t="s">
        <v>25</v>
      </c>
      <c r="B20" s="769" t="s">
        <v>26</v>
      </c>
      <c r="C20" s="785" t="s">
        <v>420</v>
      </c>
      <c r="D20" s="787" t="s">
        <v>429</v>
      </c>
      <c r="E20" s="49" t="e">
        <f>VLOOKUP(BOM!D20,'RECAP MATIERE'!$A$17:$G$75,5,FALSE)</f>
        <v>#N/A</v>
      </c>
      <c r="F20" s="49" t="e">
        <f>VLOOKUP(BOM!D20,'RECAP MATIERE'!$A$17:$G$75,6,FALSE)</f>
        <v>#N/A</v>
      </c>
      <c r="G20" s="788" t="e">
        <f>8.439*#REF!</f>
        <v>#REF!</v>
      </c>
      <c r="H20" s="773" t="e">
        <f t="shared" si="0"/>
        <v>#REF!</v>
      </c>
      <c r="I20" s="788"/>
      <c r="J20" s="786"/>
      <c r="K20" s="49" t="e">
        <f>VLOOKUP(BOM!D20,'RECAP MATIERE'!$A$17:$G$75,7,FALSE)</f>
        <v>#N/A</v>
      </c>
      <c r="L20" s="34"/>
      <c r="M20" s="34"/>
      <c r="N20" s="34"/>
      <c r="O20" s="161"/>
      <c r="P20" s="30"/>
      <c r="Q20" s="30"/>
      <c r="R20" s="30" t="s">
        <v>422</v>
      </c>
      <c r="S20" s="34" t="s">
        <v>423</v>
      </c>
      <c r="T20" s="34"/>
      <c r="U20" s="34"/>
      <c r="V20" s="34"/>
      <c r="W20" s="30"/>
      <c r="X20" s="660"/>
      <c r="Y20" s="34"/>
    </row>
    <row r="21" spans="1:25" ht="43.2" x14ac:dyDescent="0.3">
      <c r="A21" s="769" t="s">
        <v>25</v>
      </c>
      <c r="B21" s="769" t="s">
        <v>26</v>
      </c>
      <c r="C21" s="785" t="s">
        <v>420</v>
      </c>
      <c r="D21" s="789" t="s">
        <v>36</v>
      </c>
      <c r="E21" s="49" t="str">
        <f>VLOOKUP(BOM!D21,'RECAP MATIERE'!$A$17:$G$75,5,FALSE)</f>
        <v>RER: Epoxy resin</v>
      </c>
      <c r="F21" s="49" t="str">
        <f>VLOOKUP(BOM!D21,'RECAP MATIERE'!$A$17:$G$75,6,FALSE)</f>
        <v>GLO:  plastic injection moulding</v>
      </c>
      <c r="G21" s="784">
        <v>0.48799999999999999</v>
      </c>
      <c r="H21" s="773">
        <f t="shared" si="0"/>
        <v>0</v>
      </c>
      <c r="I21" s="784"/>
      <c r="J21" s="786"/>
      <c r="K21" s="49" t="str">
        <f>VLOOKUP(BOM!D21,'RECAP MATIERE'!$A$17:$G$75,7,FALSE)</f>
        <v>[Nation] Plastics in waste incineration plants</v>
      </c>
      <c r="L21" s="34"/>
      <c r="M21" s="34"/>
      <c r="N21" s="34"/>
      <c r="O21" s="34"/>
      <c r="P21" s="30" t="s">
        <v>421</v>
      </c>
      <c r="Q21" s="30" t="s">
        <v>28</v>
      </c>
      <c r="R21" s="30" t="s">
        <v>430</v>
      </c>
      <c r="S21" s="34" t="s">
        <v>423</v>
      </c>
      <c r="T21" s="34">
        <v>0</v>
      </c>
      <c r="U21" s="34">
        <v>1</v>
      </c>
      <c r="V21" s="34">
        <v>31.6</v>
      </c>
      <c r="W21" s="30">
        <v>176</v>
      </c>
      <c r="X21" s="660" t="s">
        <v>30</v>
      </c>
      <c r="Y21" s="34"/>
    </row>
    <row r="22" spans="1:25" ht="28.8" x14ac:dyDescent="0.3">
      <c r="A22" s="769" t="s">
        <v>25</v>
      </c>
      <c r="B22" s="769" t="s">
        <v>26</v>
      </c>
      <c r="C22" s="785" t="s">
        <v>420</v>
      </c>
      <c r="D22" s="372" t="s">
        <v>253</v>
      </c>
      <c r="E22" s="49" t="str">
        <f>VLOOKUP(BOM!D22,'RECAP MATIERE'!$A$17:$G$75,5,FALSE)</f>
        <v>EU: Steel tinplated</v>
      </c>
      <c r="F22" s="49" t="str">
        <f>VLOOKUP(BOM!D22,'RECAP MATIERE'!$A$17:$G$75,6,FALSE)</f>
        <v>DE: Aluminium cast part machining
+ TTH compris dans le steel tinplated</v>
      </c>
      <c r="G22" s="372">
        <v>0.49600000000000005</v>
      </c>
      <c r="H22" s="773">
        <f t="shared" si="0"/>
        <v>0</v>
      </c>
      <c r="I22" s="372"/>
      <c r="J22" s="786"/>
      <c r="K22" s="49" t="str">
        <f>VLOOKUP(BOM!D22,'RECAP MATIERE'!$A$17:$G$75,7,FALSE)</f>
        <v>Crédit?</v>
      </c>
      <c r="L22" s="34"/>
      <c r="M22" s="34"/>
      <c r="N22" s="34"/>
      <c r="O22" s="34"/>
      <c r="P22" s="30" t="s">
        <v>421</v>
      </c>
      <c r="Q22" s="30" t="s">
        <v>28</v>
      </c>
      <c r="R22" s="30" t="s">
        <v>431</v>
      </c>
      <c r="S22" s="34" t="s">
        <v>423</v>
      </c>
      <c r="T22" s="34">
        <v>0</v>
      </c>
      <c r="U22" s="34">
        <v>1</v>
      </c>
      <c r="V22" s="34">
        <v>31.6</v>
      </c>
      <c r="W22" s="30">
        <v>176</v>
      </c>
      <c r="X22" s="660" t="s">
        <v>30</v>
      </c>
      <c r="Y22" s="34"/>
    </row>
    <row r="23" spans="1:25" x14ac:dyDescent="0.3">
      <c r="A23" s="769" t="s">
        <v>25</v>
      </c>
      <c r="B23" s="769" t="s">
        <v>243</v>
      </c>
      <c r="C23" s="785"/>
      <c r="D23" s="898" t="s">
        <v>432</v>
      </c>
      <c r="E23" s="49" t="str">
        <f>VLOOKUP(BOM!D23,'RECAP MATIERE'!$A$17:$G$75,5,FALSE)</f>
        <v>Flat pallet</v>
      </c>
      <c r="F23" s="49" t="str">
        <f>VLOOKUP(BOM!D23,'RECAP MATIERE'!$A$17:$G$75,6,FALSE)</f>
        <v>N/A</v>
      </c>
      <c r="G23" s="898">
        <f>0.9*I23</f>
        <v>28.44</v>
      </c>
      <c r="H23" s="773">
        <f t="shared" si="0"/>
        <v>0</v>
      </c>
      <c r="I23" s="896">
        <f t="shared" ref="I23" si="1">V22/U22</f>
        <v>31.6</v>
      </c>
      <c r="J23" s="786"/>
      <c r="K23" s="49" t="str">
        <f>VLOOKUP(BOM!D23,'RECAP MATIERE'!$A$17:$G$75,7,FALSE)</f>
        <v>N/A</v>
      </c>
      <c r="L23" s="34"/>
      <c r="M23" s="34"/>
      <c r="N23" s="34"/>
      <c r="O23" s="34"/>
      <c r="P23" s="30"/>
      <c r="Q23" s="30"/>
      <c r="R23" s="30" t="s">
        <v>431</v>
      </c>
      <c r="S23" s="34" t="s">
        <v>423</v>
      </c>
      <c r="T23" s="34"/>
      <c r="U23" s="34"/>
      <c r="V23" s="34"/>
      <c r="W23" s="30"/>
      <c r="X23" s="660"/>
      <c r="Y23" s="34"/>
    </row>
    <row r="24" spans="1:25" x14ac:dyDescent="0.3">
      <c r="A24" s="769" t="s">
        <v>25</v>
      </c>
      <c r="B24" s="769" t="s">
        <v>243</v>
      </c>
      <c r="C24" s="785"/>
      <c r="D24" s="896" t="s">
        <v>419</v>
      </c>
      <c r="E24" s="49" t="str">
        <f>VLOOKUP(BOM!D24,'RECAP MATIERE'!$A$17:$G$75,5,FALSE)</f>
        <v>EU28: Carton from folding boxboard</v>
      </c>
      <c r="F24" s="49" t="str">
        <f>VLOOKUP(BOM!D24,'RECAP MATIERE'!$A$17:$G$75,6,FALSE)</f>
        <v>N/A</v>
      </c>
      <c r="G24" s="896">
        <f>0.1*I24</f>
        <v>3.16</v>
      </c>
      <c r="H24" s="773">
        <f t="shared" si="0"/>
        <v>0</v>
      </c>
      <c r="I24" s="896">
        <f>V22/U22</f>
        <v>31.6</v>
      </c>
      <c r="J24" s="786"/>
      <c r="K24" s="49" t="str">
        <f>VLOOKUP(BOM!D24,'RECAP MATIERE'!$A$17:$G$75,7,FALSE)</f>
        <v>N/A</v>
      </c>
      <c r="L24" s="34"/>
      <c r="M24" s="34"/>
      <c r="N24" s="34"/>
      <c r="O24" s="34"/>
      <c r="P24" s="30"/>
      <c r="Q24" s="30"/>
      <c r="R24" s="30" t="s">
        <v>431</v>
      </c>
      <c r="S24" s="34" t="s">
        <v>423</v>
      </c>
      <c r="T24" s="34"/>
      <c r="U24" s="34"/>
      <c r="V24" s="34"/>
      <c r="W24" s="30"/>
      <c r="X24" s="660"/>
      <c r="Y24" s="34"/>
    </row>
    <row r="25" spans="1:25" ht="57.6" x14ac:dyDescent="0.3">
      <c r="A25" s="769" t="s">
        <v>433</v>
      </c>
      <c r="B25" s="769" t="s">
        <v>59</v>
      </c>
      <c r="C25" s="769" t="s">
        <v>414</v>
      </c>
      <c r="D25" s="772" t="s">
        <v>47</v>
      </c>
      <c r="E25" s="49" t="str">
        <f>VLOOKUP(BOM!D25,'RECAP MATIERE'!$A$17:$G$75,5,FALSE)</f>
        <v>EU28: AlCu4MgSi extrusion profile
ou EU28: AlCU4MgTi ingot
ou EU28 AlCu4Mg1  sheet</v>
      </c>
      <c r="F25" s="49" t="str">
        <f>VLOOKUP(BOM!D25,'RECAP MATIERE'!$A$17:$G$75,6,FALSE)</f>
        <v>DE: Aluminium cast part machining
+ SURTEC 650</v>
      </c>
      <c r="G25" s="773">
        <v>0.44249999999999995</v>
      </c>
      <c r="H25" s="773">
        <f t="shared" si="0"/>
        <v>0</v>
      </c>
      <c r="I25" s="773"/>
      <c r="J25" s="786"/>
      <c r="K25" s="49" t="str">
        <f>VLOOKUP(BOM!D25,'RECAP MATIERE'!$A$17:$G$75,7,FALSE)</f>
        <v>EU28: Aluminium remelting: wrought alloy ingot from scrap</v>
      </c>
      <c r="L25" s="34"/>
      <c r="M25" s="34"/>
      <c r="N25" s="34"/>
      <c r="O25" s="34"/>
      <c r="P25" s="30" t="s">
        <v>414</v>
      </c>
      <c r="Q25" s="30" t="s">
        <v>61</v>
      </c>
      <c r="R25" s="30" t="s">
        <v>434</v>
      </c>
      <c r="S25" s="34" t="s">
        <v>435</v>
      </c>
      <c r="T25" s="34">
        <v>0</v>
      </c>
      <c r="U25" s="34">
        <v>10</v>
      </c>
      <c r="V25" s="34">
        <v>3</v>
      </c>
      <c r="W25" s="30">
        <v>364</v>
      </c>
      <c r="X25" s="660" t="s">
        <v>30</v>
      </c>
      <c r="Y25" s="34"/>
    </row>
    <row r="26" spans="1:25" ht="57.6" x14ac:dyDescent="0.3">
      <c r="A26" s="769" t="s">
        <v>433</v>
      </c>
      <c r="B26" s="769" t="s">
        <v>59</v>
      </c>
      <c r="C26" s="769" t="s">
        <v>414</v>
      </c>
      <c r="D26" s="774" t="s">
        <v>252</v>
      </c>
      <c r="E26" s="49" t="str">
        <f>VLOOKUP(BOM!D26,'RECAP MATIERE'!$A$17:$G$75,5,FALSE)</f>
        <v>EU28 AlCu4Mg1  sheet</v>
      </c>
      <c r="F26" s="49" t="str">
        <f>VLOOKUP(BOM!D26,'RECAP MATIERE'!$A$17:$G$75,6,FALSE)</f>
        <v>DE: Aluminium cast part machining
+ SURTEC 650</v>
      </c>
      <c r="G26" s="774">
        <v>2.9000000000000001E-2</v>
      </c>
      <c r="H26" s="773">
        <f t="shared" si="0"/>
        <v>0</v>
      </c>
      <c r="I26" s="774"/>
      <c r="J26" s="786"/>
      <c r="K26" s="49" t="str">
        <f>VLOOKUP(BOM!D26,'RECAP MATIERE'!$A$17:$G$75,7,FALSE)</f>
        <v>EU28: Aluminium remelting: wrought alloy ingot from scrap</v>
      </c>
      <c r="L26" s="34"/>
      <c r="M26" s="34"/>
      <c r="N26" s="34"/>
      <c r="O26" s="34"/>
      <c r="P26" s="30" t="s">
        <v>414</v>
      </c>
      <c r="Q26" s="30" t="s">
        <v>61</v>
      </c>
      <c r="R26" s="30" t="s">
        <v>436</v>
      </c>
      <c r="S26" s="34" t="s">
        <v>435</v>
      </c>
      <c r="T26" s="34">
        <v>0</v>
      </c>
      <c r="U26" s="34">
        <v>10</v>
      </c>
      <c r="V26" s="34">
        <v>3</v>
      </c>
      <c r="W26" s="30">
        <v>364</v>
      </c>
      <c r="X26" s="660" t="s">
        <v>30</v>
      </c>
      <c r="Y26" s="34"/>
    </row>
    <row r="27" spans="1:25" ht="28.8" x14ac:dyDescent="0.3">
      <c r="A27" s="769" t="s">
        <v>433</v>
      </c>
      <c r="B27" s="769" t="s">
        <v>59</v>
      </c>
      <c r="C27" s="769" t="s">
        <v>414</v>
      </c>
      <c r="D27" s="371" t="s">
        <v>244</v>
      </c>
      <c r="E27" s="49" t="str">
        <f>VLOOKUP(BOM!D27,'RECAP MATIERE'!$A$17:$G$75,5,FALSE)</f>
        <v>EU28: Stainless steel cold rolled coil 304 (18,5% Cr, 9% Ni)</v>
      </c>
      <c r="F27" s="49" t="str">
        <f>VLOOKUP(BOM!D27,'RECAP MATIERE'!$A$17:$G$75,6,FALSE)</f>
        <v>DE: Aluminium cast part machining
+ TTH compris dans le steel tinplated</v>
      </c>
      <c r="G27" s="371">
        <v>1E-3</v>
      </c>
      <c r="H27" s="773">
        <f t="shared" si="0"/>
        <v>0</v>
      </c>
      <c r="I27" s="371"/>
      <c r="J27" s="786"/>
      <c r="K27" s="49" t="str">
        <f>VLOOKUP(BOM!D27,'RECAP MATIERE'!$A$17:$G$75,7,FALSE)</f>
        <v>Crédit?</v>
      </c>
      <c r="L27" s="34"/>
      <c r="M27" s="34"/>
      <c r="N27" s="34"/>
      <c r="O27" s="34"/>
      <c r="P27" s="30" t="s">
        <v>414</v>
      </c>
      <c r="Q27" s="30" t="s">
        <v>61</v>
      </c>
      <c r="R27" s="30" t="s">
        <v>437</v>
      </c>
      <c r="S27" s="34" t="s">
        <v>435</v>
      </c>
      <c r="T27" s="34">
        <v>0</v>
      </c>
      <c r="U27" s="34">
        <v>10</v>
      </c>
      <c r="V27" s="34">
        <v>3</v>
      </c>
      <c r="W27" s="30">
        <v>364</v>
      </c>
      <c r="X27" s="660" t="s">
        <v>30</v>
      </c>
      <c r="Y27" s="34"/>
    </row>
    <row r="28" spans="1:25" ht="28.8" x14ac:dyDescent="0.3">
      <c r="A28" s="769" t="s">
        <v>433</v>
      </c>
      <c r="B28" s="769" t="s">
        <v>59</v>
      </c>
      <c r="C28" s="769" t="s">
        <v>414</v>
      </c>
      <c r="D28" s="372" t="s">
        <v>253</v>
      </c>
      <c r="E28" s="49" t="str">
        <f>VLOOKUP(BOM!D28,'RECAP MATIERE'!$A$17:$G$75,5,FALSE)</f>
        <v>EU: Steel tinplated</v>
      </c>
      <c r="F28" s="49" t="str">
        <f>VLOOKUP(BOM!D28,'RECAP MATIERE'!$A$17:$G$75,6,FALSE)</f>
        <v>DE: Aluminium cast part machining
+ TTH compris dans le steel tinplated</v>
      </c>
      <c r="G28" s="372">
        <v>0.3165</v>
      </c>
      <c r="H28" s="773">
        <f t="shared" si="0"/>
        <v>0</v>
      </c>
      <c r="I28" s="372"/>
      <c r="J28" s="786"/>
      <c r="K28" s="49" t="str">
        <f>VLOOKUP(BOM!D28,'RECAP MATIERE'!$A$17:$G$75,7,FALSE)</f>
        <v>Crédit?</v>
      </c>
      <c r="L28" s="34"/>
      <c r="M28" s="34"/>
      <c r="N28" s="34"/>
      <c r="O28" s="34"/>
      <c r="P28" s="30" t="s">
        <v>414</v>
      </c>
      <c r="Q28" s="30" t="s">
        <v>61</v>
      </c>
      <c r="R28" s="30" t="s">
        <v>438</v>
      </c>
      <c r="S28" s="34" t="s">
        <v>435</v>
      </c>
      <c r="T28" s="34">
        <v>0</v>
      </c>
      <c r="U28" s="34">
        <v>10</v>
      </c>
      <c r="V28" s="34">
        <v>3</v>
      </c>
      <c r="W28" s="30">
        <v>364</v>
      </c>
      <c r="X28" s="660" t="s">
        <v>30</v>
      </c>
      <c r="Y28" s="34"/>
    </row>
    <row r="29" spans="1:25" ht="43.2" x14ac:dyDescent="0.3">
      <c r="A29" s="769" t="s">
        <v>433</v>
      </c>
      <c r="B29" s="769" t="s">
        <v>59</v>
      </c>
      <c r="C29" s="769" t="s">
        <v>414</v>
      </c>
      <c r="D29" s="780" t="s">
        <v>248</v>
      </c>
      <c r="E29" s="49" t="str">
        <f>VLOOKUP(BOM!D29,'RECAP MATIERE'!$A$17:$G$75,5,FALSE)</f>
        <v>EU28: Polyamide 6.6</v>
      </c>
      <c r="F29" s="49" t="str">
        <f>VLOOKUP(BOM!D29,'RECAP MATIERE'!$A$17:$G$75,6,FALSE)</f>
        <v>GLO: plastic injection moulding</v>
      </c>
      <c r="G29" s="781">
        <v>3.0000000000000001E-3</v>
      </c>
      <c r="H29" s="773">
        <f t="shared" si="0"/>
        <v>0</v>
      </c>
      <c r="I29" s="781"/>
      <c r="J29" s="786"/>
      <c r="K29" s="49" t="str">
        <f>VLOOKUP(BOM!D29,'RECAP MATIERE'!$A$17:$G$75,7,FALSE)</f>
        <v>[Nation] Plastics in waste incineration plants</v>
      </c>
      <c r="L29" s="34"/>
      <c r="M29" s="34"/>
      <c r="N29" s="34"/>
      <c r="O29" s="34"/>
      <c r="P29" s="30" t="s">
        <v>414</v>
      </c>
      <c r="Q29" s="30" t="s">
        <v>61</v>
      </c>
      <c r="R29" s="30" t="s">
        <v>439</v>
      </c>
      <c r="S29" s="34" t="s">
        <v>435</v>
      </c>
      <c r="T29" s="34">
        <v>0</v>
      </c>
      <c r="U29" s="34">
        <v>10</v>
      </c>
      <c r="V29" s="34">
        <v>3</v>
      </c>
      <c r="W29" s="30">
        <v>364</v>
      </c>
      <c r="X29" s="660" t="s">
        <v>30</v>
      </c>
      <c r="Y29" s="34"/>
    </row>
    <row r="30" spans="1:25" ht="43.2" x14ac:dyDescent="0.3">
      <c r="A30" s="769" t="s">
        <v>433</v>
      </c>
      <c r="B30" s="769" t="s">
        <v>59</v>
      </c>
      <c r="C30" s="769" t="s">
        <v>414</v>
      </c>
      <c r="D30" s="780" t="s">
        <v>240</v>
      </c>
      <c r="E30" s="49">
        <f>VLOOKUP(BOM!D30,'RECAP MATIERE'!$A$17:$G$75,5,FALSE)</f>
        <v>0</v>
      </c>
      <c r="F30" s="49" t="str">
        <f>VLOOKUP(BOM!D30,'RECAP MATIERE'!$A$17:$G$75,6,FALSE)</f>
        <v>GLO: plastic injection moulding</v>
      </c>
      <c r="G30" s="780">
        <v>5.0000000000000001E-4</v>
      </c>
      <c r="H30" s="773">
        <f t="shared" si="0"/>
        <v>0</v>
      </c>
      <c r="I30" s="780"/>
      <c r="J30" s="786"/>
      <c r="K30" s="49" t="str">
        <f>VLOOKUP(BOM!D30,'RECAP MATIERE'!$A$17:$G$75,7,FALSE)</f>
        <v>[Nation] Plastics in waste incineration plants</v>
      </c>
      <c r="L30" s="34"/>
      <c r="M30" s="34"/>
      <c r="N30" s="34"/>
      <c r="O30" s="34"/>
      <c r="P30" s="30" t="s">
        <v>414</v>
      </c>
      <c r="Q30" s="30" t="s">
        <v>61</v>
      </c>
      <c r="R30" s="30" t="s">
        <v>440</v>
      </c>
      <c r="S30" s="34" t="s">
        <v>435</v>
      </c>
      <c r="T30" s="34">
        <v>0</v>
      </c>
      <c r="U30" s="34">
        <v>10</v>
      </c>
      <c r="V30" s="34">
        <v>3</v>
      </c>
      <c r="W30" s="30">
        <v>364</v>
      </c>
      <c r="X30" s="660" t="s">
        <v>30</v>
      </c>
      <c r="Y30" s="34"/>
    </row>
    <row r="31" spans="1:25" ht="43.2" x14ac:dyDescent="0.3">
      <c r="A31" s="769" t="s">
        <v>433</v>
      </c>
      <c r="B31" s="769" t="s">
        <v>59</v>
      </c>
      <c r="C31" s="769" t="s">
        <v>414</v>
      </c>
      <c r="D31" s="790" t="s">
        <v>261</v>
      </c>
      <c r="E31" s="49" t="str">
        <f>VLOOKUP(BOM!D31,'RECAP MATIERE'!$A$17:$G$75,5,FALSE)</f>
        <v>95% Wool/ 5%Nylon</v>
      </c>
      <c r="F31" s="49" t="str">
        <f>VLOOKUP(BOM!D31,'RECAP MATIERE'!$A$17:$G$75,6,FALSE)</f>
        <v>N/A</v>
      </c>
      <c r="G31" s="790">
        <v>2E-3</v>
      </c>
      <c r="H31" s="773">
        <f t="shared" si="0"/>
        <v>0</v>
      </c>
      <c r="I31" s="790"/>
      <c r="J31" s="786"/>
      <c r="K31" s="49" t="str">
        <f>VLOOKUP(BOM!D31,'RECAP MATIERE'!$A$17:$G$75,7,FALSE)</f>
        <v>[Nation] Plastics in waste incineration plants</v>
      </c>
      <c r="L31" s="34"/>
      <c r="M31" s="34"/>
      <c r="N31" s="34"/>
      <c r="O31" s="34"/>
      <c r="P31" s="30" t="s">
        <v>414</v>
      </c>
      <c r="Q31" s="30" t="s">
        <v>61</v>
      </c>
      <c r="R31" s="30" t="s">
        <v>441</v>
      </c>
      <c r="S31" s="34" t="s">
        <v>435</v>
      </c>
      <c r="T31" s="34">
        <v>0</v>
      </c>
      <c r="U31" s="34">
        <v>10</v>
      </c>
      <c r="V31" s="34">
        <v>3</v>
      </c>
      <c r="W31" s="30">
        <v>364</v>
      </c>
      <c r="X31" s="660" t="s">
        <v>30</v>
      </c>
      <c r="Y31" s="34"/>
    </row>
    <row r="32" spans="1:25" x14ac:dyDescent="0.3">
      <c r="A32" s="769" t="s">
        <v>433</v>
      </c>
      <c r="B32" s="769" t="s">
        <v>243</v>
      </c>
      <c r="C32" s="769"/>
      <c r="D32" s="896" t="s">
        <v>419</v>
      </c>
      <c r="E32" s="49" t="str">
        <f>VLOOKUP(BOM!D32,'RECAP MATIERE'!$A$17:$G$75,5,FALSE)</f>
        <v>EU28: Carton from folding boxboard</v>
      </c>
      <c r="F32" s="49" t="str">
        <f>VLOOKUP(BOM!D32,'RECAP MATIERE'!$A$17:$G$75,6,FALSE)</f>
        <v>N/A</v>
      </c>
      <c r="G32" s="896">
        <f>0.9*I32</f>
        <v>0.27</v>
      </c>
      <c r="H32" s="773">
        <f t="shared" si="0"/>
        <v>0</v>
      </c>
      <c r="I32" s="896">
        <f t="shared" ref="I32" si="2">V31/U31</f>
        <v>0.3</v>
      </c>
      <c r="J32" s="786"/>
      <c r="K32" s="49" t="str">
        <f>VLOOKUP(BOM!D32,'RECAP MATIERE'!$A$17:$G$75,7,FALSE)</f>
        <v>N/A</v>
      </c>
      <c r="L32" s="34"/>
      <c r="M32" s="34"/>
      <c r="N32" s="34"/>
      <c r="O32" s="34"/>
      <c r="P32" s="30"/>
      <c r="Q32" s="30"/>
      <c r="R32" s="30" t="s">
        <v>441</v>
      </c>
      <c r="S32" s="34" t="s">
        <v>435</v>
      </c>
      <c r="T32" s="34"/>
      <c r="U32" s="34"/>
      <c r="V32" s="34"/>
      <c r="W32" s="30"/>
      <c r="X32" s="660"/>
      <c r="Y32" s="34"/>
    </row>
    <row r="33" spans="1:26" x14ac:dyDescent="0.3">
      <c r="A33" s="769" t="s">
        <v>433</v>
      </c>
      <c r="B33" s="769" t="s">
        <v>243</v>
      </c>
      <c r="C33" s="769"/>
      <c r="D33" s="900" t="s">
        <v>442</v>
      </c>
      <c r="E33" s="49" t="str">
        <f>VLOOKUP(BOM!D33,'RECAP MATIERE'!$A$17:$G$75,5,FALSE)</f>
        <v>EU25: Graphic paper</v>
      </c>
      <c r="F33" s="49" t="str">
        <f>VLOOKUP(BOM!D33,'RECAP MATIERE'!$A$17:$G$75,6,FALSE)</f>
        <v>N/A</v>
      </c>
      <c r="G33" s="900">
        <f>0.1*I33</f>
        <v>0.03</v>
      </c>
      <c r="H33" s="773">
        <f t="shared" si="0"/>
        <v>0</v>
      </c>
      <c r="I33" s="896">
        <f>V31/U31</f>
        <v>0.3</v>
      </c>
      <c r="J33" s="786"/>
      <c r="K33" s="49" t="str">
        <f>VLOOKUP(BOM!D33,'RECAP MATIERE'!$A$17:$G$75,7,FALSE)</f>
        <v>N/A</v>
      </c>
      <c r="L33" s="34"/>
      <c r="M33" s="34"/>
      <c r="N33" s="34"/>
      <c r="O33" s="34"/>
      <c r="P33" s="30"/>
      <c r="Q33" s="30"/>
      <c r="R33" s="30" t="s">
        <v>441</v>
      </c>
      <c r="S33" s="34" t="s">
        <v>435</v>
      </c>
      <c r="T33" s="34"/>
      <c r="U33" s="34"/>
      <c r="V33" s="34"/>
      <c r="W33" s="30"/>
      <c r="X33" s="660"/>
      <c r="Y33" s="34"/>
    </row>
    <row r="34" spans="1:26" ht="57.6" x14ac:dyDescent="0.3">
      <c r="A34" s="769" t="s">
        <v>63</v>
      </c>
      <c r="B34" s="769" t="s">
        <v>64</v>
      </c>
      <c r="C34" s="769" t="s">
        <v>414</v>
      </c>
      <c r="D34" s="772" t="s">
        <v>47</v>
      </c>
      <c r="E34" s="49" t="str">
        <f>VLOOKUP(BOM!D34,'RECAP MATIERE'!$A$17:$G$75,5,FALSE)</f>
        <v>EU28: AlCu4MgSi extrusion profile
ou EU28: AlCU4MgTi ingot
ou EU28 AlCu4Mg1  sheet</v>
      </c>
      <c r="F34" s="49" t="str">
        <f>VLOOKUP(BOM!D34,'RECAP MATIERE'!$A$17:$G$75,6,FALSE)</f>
        <v>DE: Aluminium cast part machining
+ SURTEC 650</v>
      </c>
      <c r="G34" s="773">
        <v>3.5230000000000001</v>
      </c>
      <c r="H34" s="773">
        <f t="shared" si="0"/>
        <v>14.859778597785978</v>
      </c>
      <c r="I34" s="773"/>
      <c r="J34" s="772">
        <v>48.99</v>
      </c>
      <c r="K34" s="49" t="str">
        <f>VLOOKUP(BOM!D34,'RECAP MATIERE'!$A$17:$G$75,7,FALSE)</f>
        <v>EU28: Aluminium remelting: wrought alloy ingot from scrap</v>
      </c>
      <c r="L34" s="772">
        <v>52.350999999999999</v>
      </c>
      <c r="M34" s="772" t="s">
        <v>413</v>
      </c>
      <c r="N34" s="772">
        <v>0.42</v>
      </c>
      <c r="O34" s="772" t="s">
        <v>51</v>
      </c>
      <c r="P34" s="30" t="s">
        <v>414</v>
      </c>
      <c r="Q34" s="30" t="s">
        <v>66</v>
      </c>
      <c r="R34" s="30" t="s">
        <v>443</v>
      </c>
      <c r="S34" s="34">
        <v>0</v>
      </c>
      <c r="T34" s="34" t="s">
        <v>444</v>
      </c>
      <c r="U34" s="34">
        <v>2</v>
      </c>
      <c r="V34" s="34">
        <v>6</v>
      </c>
      <c r="W34" s="30">
        <v>295</v>
      </c>
      <c r="X34" s="660" t="s">
        <v>30</v>
      </c>
      <c r="Y34" s="34"/>
      <c r="Z34">
        <f>W34*SUM(G34:G42)*10^-3</f>
        <v>1.6354799999999998</v>
      </c>
    </row>
    <row r="35" spans="1:26" ht="57.6" x14ac:dyDescent="0.3">
      <c r="A35" s="769" t="s">
        <v>63</v>
      </c>
      <c r="B35" s="769" t="s">
        <v>64</v>
      </c>
      <c r="C35" s="769" t="s">
        <v>414</v>
      </c>
      <c r="D35" s="774" t="s">
        <v>252</v>
      </c>
      <c r="E35" s="49" t="str">
        <f>VLOOKUP(BOM!D35,'RECAP MATIERE'!$A$17:$G$75,5,FALSE)</f>
        <v>EU28 AlCu4Mg1  sheet</v>
      </c>
      <c r="F35" s="49" t="str">
        <f>VLOOKUP(BOM!D35,'RECAP MATIERE'!$A$17:$G$75,6,FALSE)</f>
        <v>DE: Aluminium cast part machining
+ SURTEC 650</v>
      </c>
      <c r="G35" s="774">
        <v>8.4000000000000005E-2</v>
      </c>
      <c r="H35" s="773">
        <f t="shared" si="0"/>
        <v>1.5833333333333333</v>
      </c>
      <c r="I35" s="774"/>
      <c r="J35" s="774">
        <v>4.9000000000000002E-2</v>
      </c>
      <c r="K35" s="49" t="str">
        <f>VLOOKUP(BOM!D35,'RECAP MATIERE'!$A$17:$G$75,7,FALSE)</f>
        <v>EU28: Aluminium remelting: wrought alloy ingot from scrap</v>
      </c>
      <c r="L35" s="774">
        <v>0.13300000000000001</v>
      </c>
      <c r="M35" s="774" t="s">
        <v>413</v>
      </c>
      <c r="N35" s="774">
        <v>4.0000000000000001E-3</v>
      </c>
      <c r="O35" s="774" t="s">
        <v>51</v>
      </c>
      <c r="P35" s="30" t="s">
        <v>414</v>
      </c>
      <c r="Q35" s="30" t="s">
        <v>66</v>
      </c>
      <c r="R35" s="30" t="s">
        <v>445</v>
      </c>
      <c r="S35" s="34">
        <v>0</v>
      </c>
      <c r="T35" s="34" t="s">
        <v>444</v>
      </c>
      <c r="U35" s="34">
        <v>2</v>
      </c>
      <c r="V35" s="34">
        <v>6</v>
      </c>
      <c r="W35" s="30">
        <v>295</v>
      </c>
      <c r="X35" s="660" t="s">
        <v>30</v>
      </c>
      <c r="Y35" s="34"/>
    </row>
    <row r="36" spans="1:26" ht="28.8" x14ac:dyDescent="0.3">
      <c r="A36" s="769" t="s">
        <v>63</v>
      </c>
      <c r="B36" s="769" t="s">
        <v>64</v>
      </c>
      <c r="C36" s="769" t="s">
        <v>414</v>
      </c>
      <c r="D36" s="371" t="s">
        <v>244</v>
      </c>
      <c r="E36" s="49" t="str">
        <f>VLOOKUP(BOM!D36,'RECAP MATIERE'!$A$17:$G$75,5,FALSE)</f>
        <v>EU28: Stainless steel cold rolled coil 304 (18,5% Cr, 9% Ni)</v>
      </c>
      <c r="F36" s="49" t="str">
        <f>VLOOKUP(BOM!D36,'RECAP MATIERE'!$A$17:$G$75,6,FALSE)</f>
        <v>DE: Aluminium cast part machining
+ TTH compris dans le steel tinplated</v>
      </c>
      <c r="G36" s="371">
        <v>1.2E-2</v>
      </c>
      <c r="H36" s="773">
        <f t="shared" si="0"/>
        <v>0</v>
      </c>
      <c r="I36" s="371"/>
      <c r="J36" s="786"/>
      <c r="K36" s="49" t="str">
        <f>VLOOKUP(BOM!D36,'RECAP MATIERE'!$A$17:$G$75,7,FALSE)</f>
        <v>Crédit?</v>
      </c>
      <c r="L36" s="770"/>
      <c r="M36" s="770"/>
      <c r="N36" s="770"/>
      <c r="O36" s="770"/>
      <c r="P36" s="30" t="s">
        <v>414</v>
      </c>
      <c r="Q36" s="30" t="s">
        <v>66</v>
      </c>
      <c r="R36" s="30" t="s">
        <v>446</v>
      </c>
      <c r="S36" s="34">
        <v>0</v>
      </c>
      <c r="T36" s="34" t="s">
        <v>444</v>
      </c>
      <c r="U36" s="34">
        <v>2</v>
      </c>
      <c r="V36" s="34">
        <v>6</v>
      </c>
      <c r="W36" s="30">
        <v>295</v>
      </c>
      <c r="X36" s="660" t="s">
        <v>30</v>
      </c>
      <c r="Y36" s="34"/>
    </row>
    <row r="37" spans="1:26" ht="28.8" x14ac:dyDescent="0.3">
      <c r="A37" s="769" t="s">
        <v>63</v>
      </c>
      <c r="B37" s="769" t="s">
        <v>64</v>
      </c>
      <c r="C37" s="769" t="s">
        <v>414</v>
      </c>
      <c r="D37" s="372" t="s">
        <v>253</v>
      </c>
      <c r="E37" s="49" t="str">
        <f>VLOOKUP(BOM!D37,'RECAP MATIERE'!$A$17:$G$75,5,FALSE)</f>
        <v>EU: Steel tinplated</v>
      </c>
      <c r="F37" s="49" t="str">
        <f>VLOOKUP(BOM!D37,'RECAP MATIERE'!$A$17:$G$75,6,FALSE)</f>
        <v>DE: Aluminium cast part machining
+ TTH compris dans le steel tinplated</v>
      </c>
      <c r="G37" s="372">
        <v>1.1329999999999998</v>
      </c>
      <c r="H37" s="773">
        <f t="shared" si="0"/>
        <v>0</v>
      </c>
      <c r="I37" s="372"/>
      <c r="J37" s="786"/>
      <c r="K37" s="49" t="str">
        <f>VLOOKUP(BOM!D37,'RECAP MATIERE'!$A$17:$G$75,7,FALSE)</f>
        <v>Crédit?</v>
      </c>
      <c r="L37" s="770"/>
      <c r="M37" s="770"/>
      <c r="N37" s="770"/>
      <c r="O37" s="770"/>
      <c r="P37" s="30" t="s">
        <v>414</v>
      </c>
      <c r="Q37" s="30" t="s">
        <v>66</v>
      </c>
      <c r="R37" s="30" t="s">
        <v>447</v>
      </c>
      <c r="S37" s="34">
        <v>0</v>
      </c>
      <c r="T37" s="34" t="s">
        <v>444</v>
      </c>
      <c r="U37" s="34">
        <v>2</v>
      </c>
      <c r="V37" s="34">
        <v>6</v>
      </c>
      <c r="W37" s="30">
        <v>295</v>
      </c>
      <c r="X37" s="660" t="s">
        <v>30</v>
      </c>
      <c r="Y37" s="34"/>
    </row>
    <row r="38" spans="1:26" ht="43.2" x14ac:dyDescent="0.3">
      <c r="A38" s="769" t="s">
        <v>63</v>
      </c>
      <c r="B38" s="769" t="s">
        <v>64</v>
      </c>
      <c r="C38" s="769" t="s">
        <v>414</v>
      </c>
      <c r="D38" s="791" t="s">
        <v>248</v>
      </c>
      <c r="E38" s="49" t="str">
        <f>VLOOKUP(BOM!D38,'RECAP MATIERE'!$A$17:$G$75,5,FALSE)</f>
        <v>EU28: Polyamide 6.6</v>
      </c>
      <c r="F38" s="49" t="str">
        <f>VLOOKUP(BOM!D38,'RECAP MATIERE'!$A$17:$G$75,6,FALSE)</f>
        <v>GLO: plastic injection moulding</v>
      </c>
      <c r="G38" s="792">
        <v>2E-3</v>
      </c>
      <c r="H38" s="773">
        <f t="shared" si="0"/>
        <v>0</v>
      </c>
      <c r="I38" s="792"/>
      <c r="J38" s="786"/>
      <c r="K38" s="49" t="str">
        <f>VLOOKUP(BOM!D38,'RECAP MATIERE'!$A$17:$G$75,7,FALSE)</f>
        <v>[Nation] Plastics in waste incineration plants</v>
      </c>
      <c r="L38" s="770"/>
      <c r="M38" s="770"/>
      <c r="N38" s="770"/>
      <c r="O38" s="770"/>
      <c r="P38" s="30" t="s">
        <v>414</v>
      </c>
      <c r="Q38" s="30" t="s">
        <v>66</v>
      </c>
      <c r="R38" s="30" t="s">
        <v>448</v>
      </c>
      <c r="S38" s="34">
        <v>0</v>
      </c>
      <c r="T38" s="34" t="s">
        <v>444</v>
      </c>
      <c r="U38" s="34">
        <v>2</v>
      </c>
      <c r="V38" s="34">
        <v>6</v>
      </c>
      <c r="W38" s="30">
        <v>295</v>
      </c>
      <c r="X38" s="660" t="s">
        <v>30</v>
      </c>
      <c r="Y38" s="34"/>
    </row>
    <row r="39" spans="1:26" ht="43.2" x14ac:dyDescent="0.3">
      <c r="A39" s="769" t="s">
        <v>63</v>
      </c>
      <c r="B39" s="769" t="s">
        <v>64</v>
      </c>
      <c r="C39" s="769" t="s">
        <v>414</v>
      </c>
      <c r="D39" s="793" t="s">
        <v>240</v>
      </c>
      <c r="E39" s="49" t="s">
        <v>449</v>
      </c>
      <c r="F39" s="49" t="str">
        <f>VLOOKUP(BOM!D39,'RECAP MATIERE'!$A$17:$G$75,6,FALSE)</f>
        <v>GLO: plastic injection moulding</v>
      </c>
      <c r="G39" s="793">
        <v>0.71299999999999997</v>
      </c>
      <c r="H39" s="773">
        <f t="shared" si="0"/>
        <v>0</v>
      </c>
      <c r="I39" s="793"/>
      <c r="J39" s="786"/>
      <c r="K39" s="49" t="str">
        <f>VLOOKUP(BOM!D39,'RECAP MATIERE'!$A$17:$G$75,7,FALSE)</f>
        <v>[Nation] Plastics in waste incineration plants</v>
      </c>
      <c r="L39" s="770"/>
      <c r="M39" s="770"/>
      <c r="N39" s="770"/>
      <c r="O39" s="770"/>
      <c r="P39" s="30" t="s">
        <v>414</v>
      </c>
      <c r="Q39" s="30" t="s">
        <v>66</v>
      </c>
      <c r="R39" s="30" t="s">
        <v>450</v>
      </c>
      <c r="S39" s="34">
        <v>0</v>
      </c>
      <c r="T39" s="34" t="s">
        <v>444</v>
      </c>
      <c r="U39" s="34">
        <v>2</v>
      </c>
      <c r="V39" s="34">
        <v>6</v>
      </c>
      <c r="W39" s="30">
        <v>295</v>
      </c>
      <c r="X39" s="660" t="s">
        <v>30</v>
      </c>
      <c r="Y39" s="34"/>
    </row>
    <row r="40" spans="1:26" ht="43.2" x14ac:dyDescent="0.3">
      <c r="A40" s="769" t="s">
        <v>63</v>
      </c>
      <c r="B40" s="769" t="s">
        <v>64</v>
      </c>
      <c r="C40" s="769" t="s">
        <v>414</v>
      </c>
      <c r="D40" s="790" t="s">
        <v>261</v>
      </c>
      <c r="E40" s="49" t="str">
        <f>VLOOKUP(BOM!D40,'RECAP MATIERE'!$A$17:$G$75,5,FALSE)</f>
        <v>95% Wool/ 5%Nylon</v>
      </c>
      <c r="F40" s="49" t="str">
        <f>VLOOKUP(BOM!D40,'RECAP MATIERE'!$A$17:$G$75,6,FALSE)</f>
        <v>N/A</v>
      </c>
      <c r="G40" s="790">
        <v>2E-3</v>
      </c>
      <c r="H40" s="773">
        <f t="shared" si="0"/>
        <v>0</v>
      </c>
      <c r="I40" s="790"/>
      <c r="J40" s="786"/>
      <c r="K40" s="49" t="str">
        <f>VLOOKUP(BOM!D40,'RECAP MATIERE'!$A$17:$G$75,7,FALSE)</f>
        <v>[Nation] Plastics in waste incineration plants</v>
      </c>
      <c r="L40" s="770"/>
      <c r="M40" s="770"/>
      <c r="N40" s="770"/>
      <c r="O40" s="770"/>
      <c r="P40" s="30" t="s">
        <v>414</v>
      </c>
      <c r="Q40" s="30" t="s">
        <v>66</v>
      </c>
      <c r="R40" s="30" t="s">
        <v>451</v>
      </c>
      <c r="S40" s="34">
        <v>0</v>
      </c>
      <c r="T40" s="34" t="s">
        <v>444</v>
      </c>
      <c r="U40" s="34">
        <v>2</v>
      </c>
      <c r="V40" s="34">
        <v>6</v>
      </c>
      <c r="W40" s="30">
        <v>295</v>
      </c>
      <c r="X40" s="660" t="s">
        <v>30</v>
      </c>
      <c r="Y40" s="34"/>
    </row>
    <row r="41" spans="1:26" x14ac:dyDescent="0.3">
      <c r="A41" s="769" t="s">
        <v>63</v>
      </c>
      <c r="B41" s="769" t="s">
        <v>243</v>
      </c>
      <c r="C41" s="769"/>
      <c r="D41" s="35" t="s">
        <v>452</v>
      </c>
      <c r="E41" s="49" t="str">
        <f>VLOOKUP(BOM!D41,'RECAP MATIERE'!$A$17:$G$75,5,FALSE)</f>
        <v>EU28: Plywood board</v>
      </c>
      <c r="F41" s="49" t="str">
        <f>VLOOKUP(BOM!D41,'RECAP MATIERE'!$A$17:$G$75,6,FALSE)</f>
        <v>N/A</v>
      </c>
      <c r="G41" s="790">
        <f>0.95*I41/40</f>
        <v>7.1249999999999994E-2</v>
      </c>
      <c r="H41" s="773">
        <f t="shared" si="0"/>
        <v>0</v>
      </c>
      <c r="I41" s="896">
        <f t="shared" ref="I41" si="3">V40/U40</f>
        <v>3</v>
      </c>
      <c r="J41" s="786"/>
      <c r="K41" s="49" t="str">
        <f>VLOOKUP(BOM!D41,'RECAP MATIERE'!$A$17:$G$75,7,FALSE)</f>
        <v>N/A</v>
      </c>
      <c r="L41" s="770"/>
      <c r="M41" s="770"/>
      <c r="N41" s="770"/>
      <c r="O41" s="770"/>
      <c r="P41" s="30"/>
      <c r="Q41" s="30"/>
      <c r="R41" s="30" t="s">
        <v>451</v>
      </c>
      <c r="S41" s="34">
        <v>0</v>
      </c>
      <c r="T41" s="34" t="s">
        <v>444</v>
      </c>
      <c r="U41" s="34"/>
      <c r="V41" s="34"/>
      <c r="W41" s="30"/>
      <c r="X41" s="660"/>
      <c r="Y41" s="34"/>
    </row>
    <row r="42" spans="1:26" x14ac:dyDescent="0.3">
      <c r="A42" s="769" t="s">
        <v>63</v>
      </c>
      <c r="B42" s="769" t="s">
        <v>243</v>
      </c>
      <c r="C42" s="769"/>
      <c r="D42" s="897" t="s">
        <v>131</v>
      </c>
      <c r="E42" s="49" t="str">
        <f>VLOOKUP(BOM!D42,'RECAP MATIERE'!$A$17:$G$75,5,FALSE)</f>
        <v>EU28: Expanded polyethylene foam</v>
      </c>
      <c r="F42" s="49" t="str">
        <f>VLOOKUP(BOM!D42,'RECAP MATIERE'!$A$17:$G$75,6,FALSE)</f>
        <v>N/A</v>
      </c>
      <c r="G42" s="897">
        <f>0.05*I42/40</f>
        <v>3.7500000000000007E-3</v>
      </c>
      <c r="H42" s="773">
        <f t="shared" si="0"/>
        <v>0</v>
      </c>
      <c r="I42" s="896">
        <f>V40/U40</f>
        <v>3</v>
      </c>
      <c r="J42" s="786"/>
      <c r="K42" s="49" t="str">
        <f>VLOOKUP(BOM!D42,'RECAP MATIERE'!$A$17:$G$75,7,FALSE)</f>
        <v>N/A</v>
      </c>
      <c r="L42" s="770"/>
      <c r="M42" s="770"/>
      <c r="N42" s="770"/>
      <c r="O42" s="770"/>
      <c r="P42" s="30"/>
      <c r="Q42" s="30"/>
      <c r="R42" s="30" t="s">
        <v>451</v>
      </c>
      <c r="S42" s="34">
        <v>0</v>
      </c>
      <c r="T42" s="34" t="s">
        <v>444</v>
      </c>
      <c r="U42" s="34"/>
      <c r="V42" s="34"/>
      <c r="W42" s="30"/>
      <c r="X42" s="660"/>
      <c r="Y42" s="34"/>
    </row>
    <row r="43" spans="1:26" ht="57.6" x14ac:dyDescent="0.3">
      <c r="A43" s="769" t="s">
        <v>69</v>
      </c>
      <c r="B43" s="769" t="s">
        <v>70</v>
      </c>
      <c r="C43" s="769" t="s">
        <v>414</v>
      </c>
      <c r="D43" s="772" t="s">
        <v>47</v>
      </c>
      <c r="E43" s="49" t="str">
        <f>VLOOKUP(BOM!D43,'RECAP MATIERE'!$A$17:$G$75,5,FALSE)</f>
        <v>EU28: AlCu4MgSi extrusion profile
ou EU28: AlCU4MgTi ingot
ou EU28 AlCu4Mg1  sheet</v>
      </c>
      <c r="F43" s="49" t="str">
        <f>VLOOKUP(BOM!D43,'RECAP MATIERE'!$A$17:$G$75,6,FALSE)</f>
        <v>DE: Aluminium cast part machining
+ SURTEC 650</v>
      </c>
      <c r="G43" s="773">
        <v>2.125</v>
      </c>
      <c r="H43" s="773">
        <f t="shared" si="0"/>
        <v>8.606588235294117</v>
      </c>
      <c r="I43" s="773"/>
      <c r="J43" s="772">
        <v>16.21</v>
      </c>
      <c r="K43" s="49" t="str">
        <f>VLOOKUP(BOM!D43,'RECAP MATIERE'!$A$17:$G$75,7,FALSE)</f>
        <v>EU28: Aluminium remelting: wrought alloy ingot from scrap</v>
      </c>
      <c r="L43" s="772">
        <v>18.288999999999998</v>
      </c>
      <c r="M43" s="772" t="s">
        <v>413</v>
      </c>
      <c r="N43" s="772">
        <v>0.20899999999999999</v>
      </c>
      <c r="O43" s="772" t="s">
        <v>51</v>
      </c>
      <c r="P43" s="30" t="s">
        <v>414</v>
      </c>
      <c r="Q43" s="30" t="s">
        <v>61</v>
      </c>
      <c r="R43" s="30" t="s">
        <v>434</v>
      </c>
      <c r="S43" s="34">
        <v>0</v>
      </c>
      <c r="T43" s="34" t="s">
        <v>444</v>
      </c>
      <c r="U43" s="34">
        <v>2</v>
      </c>
      <c r="V43" s="910">
        <v>3.2</v>
      </c>
      <c r="W43" s="30">
        <v>364</v>
      </c>
      <c r="X43" s="660" t="s">
        <v>30</v>
      </c>
      <c r="Y43" s="34"/>
      <c r="Z43">
        <f>W43*SUM(G43:G54)*10^-3</f>
        <v>1.3430508000000001</v>
      </c>
    </row>
    <row r="44" spans="1:26" ht="57.6" x14ac:dyDescent="0.3">
      <c r="A44" s="769" t="s">
        <v>69</v>
      </c>
      <c r="B44" s="769" t="s">
        <v>70</v>
      </c>
      <c r="C44" s="769" t="s">
        <v>414</v>
      </c>
      <c r="D44" s="774" t="s">
        <v>252</v>
      </c>
      <c r="E44" s="49" t="str">
        <f>VLOOKUP(BOM!D44,'RECAP MATIERE'!$A$17:$G$75,5,FALSE)</f>
        <v>EU28 AlCu4Mg1  sheet</v>
      </c>
      <c r="F44" s="49" t="str">
        <f>VLOOKUP(BOM!D44,'RECAP MATIERE'!$A$17:$G$75,6,FALSE)</f>
        <v>DE: Aluminium cast part machining
+ SURTEC 650</v>
      </c>
      <c r="G44" s="794">
        <v>1.2590000000000001</v>
      </c>
      <c r="H44" s="773">
        <f t="shared" si="0"/>
        <v>2.1660047656870529</v>
      </c>
      <c r="I44" s="794"/>
      <c r="J44" s="774">
        <v>2.327</v>
      </c>
      <c r="K44" s="49" t="str">
        <f>VLOOKUP(BOM!D44,'RECAP MATIERE'!$A$17:$G$75,7,FALSE)</f>
        <v>EU28: Aluminium remelting: wrought alloy ingot from scrap</v>
      </c>
      <c r="L44" s="774">
        <v>2.7269999999999999</v>
      </c>
      <c r="M44" s="774" t="s">
        <v>413</v>
      </c>
      <c r="N44" s="774">
        <v>3.9E-2</v>
      </c>
      <c r="O44" s="774" t="s">
        <v>51</v>
      </c>
      <c r="P44" s="30" t="s">
        <v>414</v>
      </c>
      <c r="Q44" s="30" t="s">
        <v>61</v>
      </c>
      <c r="R44" s="30" t="s">
        <v>436</v>
      </c>
      <c r="S44" s="34">
        <v>0</v>
      </c>
      <c r="T44" s="34" t="s">
        <v>444</v>
      </c>
      <c r="U44" s="34">
        <v>2</v>
      </c>
      <c r="V44" s="910">
        <v>3.2</v>
      </c>
      <c r="W44" s="30">
        <v>364</v>
      </c>
      <c r="X44" s="660" t="s">
        <v>30</v>
      </c>
      <c r="Y44" s="34"/>
    </row>
    <row r="45" spans="1:26" ht="57.6" x14ac:dyDescent="0.3">
      <c r="A45" s="769" t="s">
        <v>69</v>
      </c>
      <c r="B45" s="769" t="s">
        <v>70</v>
      </c>
      <c r="C45" s="769" t="s">
        <v>414</v>
      </c>
      <c r="D45" s="795" t="s">
        <v>258</v>
      </c>
      <c r="E45" s="49" t="str">
        <f>VLOOKUP(BOM!D45,'RECAP MATIERE'!$A$17:$G$75,5,FALSE)</f>
        <v>EU28 AlCu4Mg1  sheet</v>
      </c>
      <c r="F45" s="49" t="str">
        <f>VLOOKUP(BOM!D45,'RECAP MATIERE'!$A$17:$G$75,6,FALSE)</f>
        <v>DE: Aluminium cast part machining
+ SURTEC 650</v>
      </c>
      <c r="G45" s="795">
        <v>3.3000000000000002E-2</v>
      </c>
      <c r="H45" s="773">
        <f t="shared" si="0"/>
        <v>0</v>
      </c>
      <c r="I45" s="795"/>
      <c r="J45" s="786"/>
      <c r="K45" s="49" t="str">
        <f>VLOOKUP(BOM!D45,'RECAP MATIERE'!$A$17:$G$75,7,FALSE)</f>
        <v>EU28: Aluminium remelting: wrought alloy ingot from scrap</v>
      </c>
      <c r="L45" s="34"/>
      <c r="M45" s="34"/>
      <c r="N45" s="34"/>
      <c r="O45" s="34"/>
      <c r="P45" s="30" t="s">
        <v>414</v>
      </c>
      <c r="Q45" s="30" t="s">
        <v>61</v>
      </c>
      <c r="R45" s="30" t="s">
        <v>437</v>
      </c>
      <c r="S45" s="34">
        <v>0</v>
      </c>
      <c r="T45" s="34" t="s">
        <v>444</v>
      </c>
      <c r="U45" s="34">
        <v>2</v>
      </c>
      <c r="V45" s="910">
        <v>3.2</v>
      </c>
      <c r="W45" s="30">
        <v>364</v>
      </c>
      <c r="X45" s="660" t="s">
        <v>30</v>
      </c>
      <c r="Y45" s="34"/>
    </row>
    <row r="46" spans="1:26" ht="28.8" x14ac:dyDescent="0.3">
      <c r="A46" s="769" t="s">
        <v>69</v>
      </c>
      <c r="B46" s="769" t="s">
        <v>70</v>
      </c>
      <c r="C46" s="769" t="s">
        <v>414</v>
      </c>
      <c r="D46" s="371" t="s">
        <v>244</v>
      </c>
      <c r="E46" s="49" t="str">
        <f>VLOOKUP(BOM!D46,'RECAP MATIERE'!$A$17:$G$75,5,FALSE)</f>
        <v>EU28: Stainless steel cold rolled coil 304 (18,5% Cr, 9% Ni)</v>
      </c>
      <c r="F46" s="49" t="str">
        <f>VLOOKUP(BOM!D46,'RECAP MATIERE'!$A$17:$G$75,6,FALSE)</f>
        <v>DE: Aluminium cast part machining
+ TTH compris dans le steel tinplated</v>
      </c>
      <c r="G46" s="371">
        <v>1.4E-2</v>
      </c>
      <c r="H46" s="773">
        <f t="shared" si="0"/>
        <v>0</v>
      </c>
      <c r="I46" s="371"/>
      <c r="J46" s="786"/>
      <c r="K46" s="49" t="str">
        <f>VLOOKUP(BOM!D46,'RECAP MATIERE'!$A$17:$G$75,7,FALSE)</f>
        <v>Crédit?</v>
      </c>
      <c r="L46" s="34"/>
      <c r="M46" s="34"/>
      <c r="N46" s="34"/>
      <c r="O46" s="34"/>
      <c r="P46" s="30" t="s">
        <v>414</v>
      </c>
      <c r="Q46" s="30" t="s">
        <v>61</v>
      </c>
      <c r="R46" s="30" t="s">
        <v>438</v>
      </c>
      <c r="S46" s="34">
        <v>0</v>
      </c>
      <c r="T46" s="34" t="s">
        <v>444</v>
      </c>
      <c r="U46" s="34">
        <v>2</v>
      </c>
      <c r="V46" s="910">
        <v>3.2</v>
      </c>
      <c r="W46" s="30">
        <v>364</v>
      </c>
      <c r="X46" s="660" t="s">
        <v>30</v>
      </c>
      <c r="Y46" s="34"/>
    </row>
    <row r="47" spans="1:26" ht="28.8" x14ac:dyDescent="0.3">
      <c r="A47" s="769" t="s">
        <v>69</v>
      </c>
      <c r="B47" s="769" t="s">
        <v>70</v>
      </c>
      <c r="C47" s="769" t="s">
        <v>414</v>
      </c>
      <c r="D47" s="372" t="s">
        <v>253</v>
      </c>
      <c r="E47" s="49" t="str">
        <f>VLOOKUP(BOM!D47,'RECAP MATIERE'!$A$17:$G$75,5,FALSE)</f>
        <v>EU: Steel tinplated</v>
      </c>
      <c r="F47" s="49" t="str">
        <f>VLOOKUP(BOM!D47,'RECAP MATIERE'!$A$17:$G$75,6,FALSE)</f>
        <v>DE: Aluminium cast part machining
+ TTH compris dans le steel tinplated</v>
      </c>
      <c r="G47" s="372">
        <v>0.11650000000000002</v>
      </c>
      <c r="H47" s="773">
        <f t="shared" si="0"/>
        <v>0</v>
      </c>
      <c r="I47" s="372"/>
      <c r="J47" s="786"/>
      <c r="K47" s="49" t="str">
        <f>VLOOKUP(BOM!D47,'RECAP MATIERE'!$A$17:$G$75,7,FALSE)</f>
        <v>Crédit?</v>
      </c>
      <c r="L47" s="34"/>
      <c r="M47" s="34"/>
      <c r="N47" s="34"/>
      <c r="O47" s="34"/>
      <c r="P47" s="30" t="s">
        <v>414</v>
      </c>
      <c r="Q47" s="30" t="s">
        <v>61</v>
      </c>
      <c r="R47" s="30" t="s">
        <v>439</v>
      </c>
      <c r="S47" s="34">
        <v>0</v>
      </c>
      <c r="T47" s="34" t="s">
        <v>444</v>
      </c>
      <c r="U47" s="34">
        <v>2</v>
      </c>
      <c r="V47" s="910">
        <v>3.2</v>
      </c>
      <c r="W47" s="30">
        <v>364</v>
      </c>
      <c r="X47" s="660" t="s">
        <v>30</v>
      </c>
      <c r="Y47" s="34"/>
    </row>
    <row r="48" spans="1:26" ht="43.2" x14ac:dyDescent="0.3">
      <c r="A48" s="769" t="s">
        <v>69</v>
      </c>
      <c r="B48" s="769" t="s">
        <v>70</v>
      </c>
      <c r="C48" s="769" t="s">
        <v>414</v>
      </c>
      <c r="D48" s="784" t="s">
        <v>240</v>
      </c>
      <c r="E48" s="49" t="s">
        <v>453</v>
      </c>
      <c r="F48" s="49" t="str">
        <f>VLOOKUP(BOM!D48,'RECAP MATIERE'!$A$17:$G$75,6,FALSE)</f>
        <v>GLO: plastic injection moulding</v>
      </c>
      <c r="G48" s="784">
        <v>3.5500000000000004E-2</v>
      </c>
      <c r="H48" s="773">
        <f t="shared" si="0"/>
        <v>0</v>
      </c>
      <c r="I48" s="784"/>
      <c r="J48" s="786"/>
      <c r="K48" s="49" t="str">
        <f>VLOOKUP(BOM!D48,'RECAP MATIERE'!$A$17:$G$75,7,FALSE)</f>
        <v>[Nation] Plastics in waste incineration plants</v>
      </c>
      <c r="L48" s="34"/>
      <c r="M48" s="34"/>
      <c r="N48" s="34"/>
      <c r="O48" s="34"/>
      <c r="P48" s="30" t="s">
        <v>414</v>
      </c>
      <c r="Q48" s="30" t="s">
        <v>61</v>
      </c>
      <c r="R48" s="30" t="s">
        <v>440</v>
      </c>
      <c r="S48" s="34">
        <v>0</v>
      </c>
      <c r="T48" s="34" t="s">
        <v>444</v>
      </c>
      <c r="U48" s="34">
        <v>2</v>
      </c>
      <c r="V48" s="910">
        <v>3.2</v>
      </c>
      <c r="W48" s="30">
        <v>364</v>
      </c>
      <c r="X48" s="660" t="s">
        <v>30</v>
      </c>
      <c r="Y48" s="34"/>
    </row>
    <row r="49" spans="1:26" ht="43.2" x14ac:dyDescent="0.3">
      <c r="A49" s="769" t="s">
        <v>69</v>
      </c>
      <c r="B49" s="769" t="s">
        <v>70</v>
      </c>
      <c r="C49" s="769" t="s">
        <v>414</v>
      </c>
      <c r="D49" s="796" t="s">
        <v>267</v>
      </c>
      <c r="E49" s="49" t="str">
        <f>VLOOKUP(BOM!D49,'RECAP MATIERE'!$A$17:$G$75,5,FALSE)</f>
        <v>RER: Polyvinyl chloride film (PVC)</v>
      </c>
      <c r="F49" s="49" t="str">
        <f>VLOOKUP(BOM!D49,'RECAP MATIERE'!$A$17:$G$75,6,FALSE)</f>
        <v>SIMAPRO : extrusion and thermoforming</v>
      </c>
      <c r="G49" s="796">
        <v>5.8999999999999997E-2</v>
      </c>
      <c r="H49" s="773">
        <f t="shared" si="0"/>
        <v>0</v>
      </c>
      <c r="I49" s="796"/>
      <c r="J49" s="786"/>
      <c r="K49" s="49" t="str">
        <f>VLOOKUP(BOM!D49,'RECAP MATIERE'!$A$17:$G$75,7,FALSE)</f>
        <v>[Nation] Plastics in waste incineration plants</v>
      </c>
      <c r="L49" s="34"/>
      <c r="M49" s="34"/>
      <c r="N49" s="34"/>
      <c r="O49" s="34"/>
      <c r="P49" s="30" t="s">
        <v>414</v>
      </c>
      <c r="Q49" s="30" t="s">
        <v>61</v>
      </c>
      <c r="R49" s="30" t="s">
        <v>441</v>
      </c>
      <c r="S49" s="34">
        <v>0</v>
      </c>
      <c r="T49" s="34" t="s">
        <v>444</v>
      </c>
      <c r="U49" s="34">
        <v>2</v>
      </c>
      <c r="V49" s="910">
        <v>3.2</v>
      </c>
      <c r="W49" s="30">
        <v>364</v>
      </c>
      <c r="X49" s="660" t="s">
        <v>30</v>
      </c>
      <c r="Y49" s="34"/>
    </row>
    <row r="50" spans="1:26" ht="43.2" x14ac:dyDescent="0.3">
      <c r="A50" s="769" t="s">
        <v>69</v>
      </c>
      <c r="B50" s="769" t="s">
        <v>70</v>
      </c>
      <c r="C50" s="769" t="s">
        <v>414</v>
      </c>
      <c r="D50" s="793" t="s">
        <v>262</v>
      </c>
      <c r="E50" s="49" t="str">
        <f>VLOOKUP(BOM!D50,'RECAP MATIERE'!$A$17:$G$75,5,FALSE)</f>
        <v>EU28: Polyamide 6</v>
      </c>
      <c r="F50" s="49" t="str">
        <f>VLOOKUP(BOM!D50,'RECAP MATIERE'!$A$17:$G$75,6,FALSE)</f>
        <v>GLO: plastic injection moulding</v>
      </c>
      <c r="G50" s="793">
        <v>7.0000000000000001E-3</v>
      </c>
      <c r="H50" s="773">
        <f t="shared" si="0"/>
        <v>0</v>
      </c>
      <c r="I50" s="793"/>
      <c r="J50" s="786"/>
      <c r="K50" s="49" t="str">
        <f>VLOOKUP(BOM!D50,'RECAP MATIERE'!$A$17:$G$75,7,FALSE)</f>
        <v>[Nation] Plastics in waste incineration plants</v>
      </c>
      <c r="L50" s="34"/>
      <c r="M50" s="34"/>
      <c r="N50" s="34"/>
      <c r="O50" s="34"/>
      <c r="P50" s="30" t="s">
        <v>414</v>
      </c>
      <c r="Q50" s="30" t="s">
        <v>61</v>
      </c>
      <c r="R50" s="30" t="s">
        <v>454</v>
      </c>
      <c r="S50" s="34">
        <v>0</v>
      </c>
      <c r="T50" s="34" t="s">
        <v>444</v>
      </c>
      <c r="U50" s="34">
        <v>2</v>
      </c>
      <c r="V50" s="910">
        <v>3.2</v>
      </c>
      <c r="W50" s="30">
        <v>364</v>
      </c>
      <c r="X50" s="660" t="s">
        <v>30</v>
      </c>
      <c r="Y50" s="34"/>
    </row>
    <row r="51" spans="1:26" ht="43.2" x14ac:dyDescent="0.3">
      <c r="A51" s="769" t="s">
        <v>69</v>
      </c>
      <c r="B51" s="769" t="s">
        <v>70</v>
      </c>
      <c r="C51" s="769" t="s">
        <v>414</v>
      </c>
      <c r="D51" s="797" t="s">
        <v>256</v>
      </c>
      <c r="E51" s="49" t="str">
        <f>VLOOKUP(BOM!D51,'RECAP MATIERE'!$A$17:$G$75,5,FALSE)</f>
        <v>DE: Silicon rubber</v>
      </c>
      <c r="F51" s="49" t="str">
        <f>VLOOKUP(BOM!D51,'RECAP MATIERE'!$A$17:$G$75,6,FALSE)</f>
        <v>GLO:  plastic injection moulding</v>
      </c>
      <c r="G51" s="798">
        <v>6.9999999999999999E-4</v>
      </c>
      <c r="H51" s="773">
        <f t="shared" si="0"/>
        <v>0</v>
      </c>
      <c r="I51" s="798"/>
      <c r="J51" s="786"/>
      <c r="K51" s="49" t="str">
        <f>VLOOKUP(BOM!D51,'RECAP MATIERE'!$A$17:$G$75,7,FALSE)</f>
        <v>[Nation] Plastics in waste incineration plants</v>
      </c>
      <c r="L51" s="34"/>
      <c r="M51" s="34"/>
      <c r="N51" s="34"/>
      <c r="O51" s="34"/>
      <c r="P51" s="30" t="s">
        <v>414</v>
      </c>
      <c r="Q51" s="30" t="s">
        <v>61</v>
      </c>
      <c r="R51" s="30" t="s">
        <v>455</v>
      </c>
      <c r="S51" s="34">
        <v>0</v>
      </c>
      <c r="T51" s="34" t="s">
        <v>444</v>
      </c>
      <c r="U51" s="34">
        <v>2</v>
      </c>
      <c r="V51" s="910">
        <v>3.2</v>
      </c>
      <c r="W51" s="30">
        <v>364</v>
      </c>
      <c r="X51" s="660" t="s">
        <v>30</v>
      </c>
      <c r="Y51" s="34"/>
    </row>
    <row r="52" spans="1:26" x14ac:dyDescent="0.3">
      <c r="A52" s="769" t="s">
        <v>69</v>
      </c>
      <c r="B52" s="769" t="s">
        <v>243</v>
      </c>
      <c r="C52" s="769"/>
      <c r="D52" s="35" t="s">
        <v>452</v>
      </c>
      <c r="E52" s="49" t="str">
        <f>VLOOKUP(BOM!D52,'RECAP MATIERE'!$A$17:$G$75,5,FALSE)</f>
        <v>EU28: Plywood board</v>
      </c>
      <c r="F52" s="49" t="str">
        <f>VLOOKUP(BOM!D52,'RECAP MATIERE'!$A$17:$G$75,6,FALSE)</f>
        <v>N/A</v>
      </c>
      <c r="G52" s="798">
        <f>0.95*I52/40</f>
        <v>3.7999999999999999E-2</v>
      </c>
      <c r="H52" s="773">
        <f t="shared" si="0"/>
        <v>0</v>
      </c>
      <c r="I52" s="896">
        <f t="shared" ref="I52" si="4">V51/U51</f>
        <v>1.6</v>
      </c>
      <c r="J52" s="786"/>
      <c r="K52" s="49" t="str">
        <f>VLOOKUP(BOM!D52,'RECAP MATIERE'!$A$17:$G$75,7,FALSE)</f>
        <v>N/A</v>
      </c>
      <c r="L52" s="34"/>
      <c r="M52" s="34"/>
      <c r="N52" s="34"/>
      <c r="O52" s="34"/>
      <c r="P52" s="30"/>
      <c r="Q52" s="30"/>
      <c r="R52" s="30" t="s">
        <v>455</v>
      </c>
      <c r="S52" s="34">
        <v>0</v>
      </c>
      <c r="T52" s="34" t="s">
        <v>444</v>
      </c>
      <c r="U52" s="34"/>
      <c r="V52" s="34"/>
      <c r="W52" s="30"/>
      <c r="X52" s="660"/>
      <c r="Y52" s="34"/>
    </row>
    <row r="53" spans="1:26" x14ac:dyDescent="0.3">
      <c r="A53" s="769" t="s">
        <v>69</v>
      </c>
      <c r="B53" s="769" t="s">
        <v>243</v>
      </c>
      <c r="C53" s="769"/>
      <c r="D53" s="35" t="s">
        <v>419</v>
      </c>
      <c r="E53" s="49"/>
      <c r="F53" s="49"/>
      <c r="G53" s="798">
        <f>0.045*I54/40</f>
        <v>1.8E-3</v>
      </c>
      <c r="H53" s="773">
        <f t="shared" si="0"/>
        <v>0</v>
      </c>
      <c r="I53" s="896">
        <f>V51/U51</f>
        <v>1.6</v>
      </c>
      <c r="J53" s="786"/>
      <c r="K53" s="49"/>
      <c r="L53" s="34"/>
      <c r="M53" s="34"/>
      <c r="N53" s="34"/>
      <c r="O53" s="34"/>
      <c r="P53" s="30"/>
      <c r="Q53" s="30"/>
      <c r="R53" s="30" t="s">
        <v>455</v>
      </c>
      <c r="S53" s="34"/>
      <c r="T53" s="34"/>
      <c r="U53" s="34"/>
      <c r="V53" s="34"/>
      <c r="W53" s="30"/>
      <c r="X53" s="660"/>
      <c r="Y53" s="34"/>
    </row>
    <row r="54" spans="1:26" x14ac:dyDescent="0.3">
      <c r="A54" s="769" t="s">
        <v>69</v>
      </c>
      <c r="B54" s="769" t="s">
        <v>243</v>
      </c>
      <c r="C54" s="769"/>
      <c r="D54" s="897" t="s">
        <v>131</v>
      </c>
      <c r="E54" s="49" t="str">
        <f>VLOOKUP(BOM!D54,'RECAP MATIERE'!$A$17:$G$75,5,FALSE)</f>
        <v>EU28: Expanded polyethylene foam</v>
      </c>
      <c r="F54" s="49" t="str">
        <f>VLOOKUP(BOM!D54,'RECAP MATIERE'!$A$17:$G$75,6,FALSE)</f>
        <v>N/A</v>
      </c>
      <c r="G54" s="897">
        <f>0.005*I54/40</f>
        <v>2.0000000000000001E-4</v>
      </c>
      <c r="H54" s="773">
        <f t="shared" si="0"/>
        <v>0</v>
      </c>
      <c r="I54" s="896">
        <f>V51/U51</f>
        <v>1.6</v>
      </c>
      <c r="J54" s="786"/>
      <c r="K54" s="49" t="str">
        <f>VLOOKUP(BOM!D54,'RECAP MATIERE'!$A$17:$G$75,7,FALSE)</f>
        <v>N/A</v>
      </c>
      <c r="L54" s="34"/>
      <c r="M54" s="34"/>
      <c r="N54" s="34"/>
      <c r="O54" s="34"/>
      <c r="P54" s="30"/>
      <c r="Q54" s="30"/>
      <c r="R54" s="30" t="s">
        <v>455</v>
      </c>
      <c r="S54" s="34">
        <v>0</v>
      </c>
      <c r="T54" s="34" t="s">
        <v>444</v>
      </c>
      <c r="U54" s="34"/>
      <c r="V54" s="34"/>
      <c r="W54" s="30"/>
      <c r="X54" s="660"/>
      <c r="Y54" s="34"/>
    </row>
    <row r="55" spans="1:26" ht="57.6" x14ac:dyDescent="0.3">
      <c r="A55" s="769" t="s">
        <v>72</v>
      </c>
      <c r="B55" s="769" t="s">
        <v>73</v>
      </c>
      <c r="C55" s="769" t="s">
        <v>414</v>
      </c>
      <c r="D55" s="772" t="s">
        <v>47</v>
      </c>
      <c r="E55" s="49" t="str">
        <f>VLOOKUP(BOM!D55,'RECAP MATIERE'!$A$17:$G$75,5,FALSE)</f>
        <v>EU28: AlCu4MgSi extrusion profile
ou EU28: AlCU4MgTi ingot
ou EU28 AlCu4Mg1  sheet</v>
      </c>
      <c r="F55" s="49" t="str">
        <f>VLOOKUP(BOM!D55,'RECAP MATIERE'!$A$17:$G$75,6,FALSE)</f>
        <v>DE: Aluminium cast part machining
+ SURTEC 650</v>
      </c>
      <c r="G55" s="773">
        <v>3.9560000000000004</v>
      </c>
      <c r="H55" s="773">
        <f t="shared" si="0"/>
        <v>18.295247724974722</v>
      </c>
      <c r="I55" s="773"/>
      <c r="J55" s="772">
        <v>68.563999999999993</v>
      </c>
      <c r="K55" s="49" t="str">
        <f>VLOOKUP(BOM!D55,'RECAP MATIERE'!$A$17:$G$75,7,FALSE)</f>
        <v>EU28: Aluminium remelting: wrought alloy ingot from scrap</v>
      </c>
      <c r="L55" s="772">
        <v>72.376000000000005</v>
      </c>
      <c r="M55" s="772" t="s">
        <v>413</v>
      </c>
      <c r="N55" s="772">
        <v>0.19700000000000001</v>
      </c>
      <c r="O55" s="772" t="s">
        <v>51</v>
      </c>
      <c r="P55" s="30" t="s">
        <v>414</v>
      </c>
      <c r="Q55" s="30" t="s">
        <v>61</v>
      </c>
      <c r="R55" s="30" t="s">
        <v>434</v>
      </c>
      <c r="S55" s="34">
        <v>0</v>
      </c>
      <c r="T55" s="34" t="s">
        <v>456</v>
      </c>
      <c r="U55" s="34">
        <v>2</v>
      </c>
      <c r="V55" s="34">
        <v>6</v>
      </c>
      <c r="W55" s="30">
        <v>364</v>
      </c>
      <c r="X55" s="660" t="s">
        <v>30</v>
      </c>
      <c r="Y55" s="34"/>
      <c r="Z55">
        <f>W55*SUM(G55:G66)*10^-3</f>
        <v>2.5264650684000003</v>
      </c>
    </row>
    <row r="56" spans="1:26" ht="57.6" x14ac:dyDescent="0.3">
      <c r="A56" s="769" t="s">
        <v>72</v>
      </c>
      <c r="B56" s="769" t="s">
        <v>73</v>
      </c>
      <c r="C56" s="769" t="s">
        <v>414</v>
      </c>
      <c r="D56" s="775" t="s">
        <v>91</v>
      </c>
      <c r="E56" s="49" t="str">
        <f>VLOOKUP(BOM!D56,'RECAP MATIERE'!$A$17:$G$75,5,FALSE)</f>
        <v>EU28: AlMg4.5 sheet</v>
      </c>
      <c r="F56" s="49" t="str">
        <f>VLOOKUP(BOM!D56,'RECAP MATIERE'!$A$17:$G$75,6,FALSE)</f>
        <v>DE: Aluminium cast part machining
GLO: Steel sheet stamping and bending</v>
      </c>
      <c r="G56" s="776">
        <v>2.4569999999999999</v>
      </c>
      <c r="H56" s="773">
        <f t="shared" si="0"/>
        <v>0</v>
      </c>
      <c r="I56" s="776"/>
      <c r="J56" s="786"/>
      <c r="K56" s="49" t="str">
        <f>VLOOKUP(BOM!D56,'RECAP MATIERE'!$A$17:$G$75,7,FALSE)</f>
        <v>EU28: Aluminium remelting: wrought alloy ingot from scrap</v>
      </c>
      <c r="L56" s="34"/>
      <c r="M56" s="34"/>
      <c r="N56" s="34"/>
      <c r="O56" s="890" t="s">
        <v>77</v>
      </c>
      <c r="P56" s="30" t="s">
        <v>414</v>
      </c>
      <c r="Q56" s="30" t="s">
        <v>61</v>
      </c>
      <c r="R56" s="30" t="s">
        <v>436</v>
      </c>
      <c r="S56" s="34">
        <v>0</v>
      </c>
      <c r="T56" s="34" t="s">
        <v>456</v>
      </c>
      <c r="U56" s="34">
        <v>2</v>
      </c>
      <c r="V56" s="34">
        <v>6</v>
      </c>
      <c r="W56" s="30">
        <v>364</v>
      </c>
      <c r="X56" s="660" t="s">
        <v>30</v>
      </c>
      <c r="Y56" s="34"/>
    </row>
    <row r="57" spans="1:26" ht="28.8" x14ac:dyDescent="0.3">
      <c r="A57" s="769" t="s">
        <v>72</v>
      </c>
      <c r="B57" s="769" t="s">
        <v>73</v>
      </c>
      <c r="C57" s="769" t="s">
        <v>414</v>
      </c>
      <c r="D57" s="375" t="s">
        <v>270</v>
      </c>
      <c r="E57" s="49" t="str">
        <f>VLOOKUP(BOM!D57,'RECAP MATIERE'!$A$17:$G$75,5,FALSE)</f>
        <v>EU: Steel tinplated</v>
      </c>
      <c r="F57" s="49" t="str">
        <f>VLOOKUP(BOM!D57,'RECAP MATIERE'!$A$17:$G$75,6,FALSE)</f>
        <v>DE: Aluminium cast part machining
+ TTH compris dans le steel tinplated</v>
      </c>
      <c r="G57" s="375">
        <v>8.0000000000000002E-3</v>
      </c>
      <c r="H57" s="773">
        <f t="shared" si="0"/>
        <v>0</v>
      </c>
      <c r="I57" s="375"/>
      <c r="J57" s="786"/>
      <c r="K57" s="49" t="str">
        <f>VLOOKUP(BOM!D57,'RECAP MATIERE'!$A$17:$G$75,7,FALSE)</f>
        <v>Crédit?</v>
      </c>
      <c r="L57" s="34"/>
      <c r="M57" s="34"/>
      <c r="N57" s="34"/>
      <c r="O57" s="34"/>
      <c r="P57" s="30" t="s">
        <v>414</v>
      </c>
      <c r="Q57" s="30" t="s">
        <v>61</v>
      </c>
      <c r="R57" s="30" t="s">
        <v>437</v>
      </c>
      <c r="S57" s="34">
        <v>0</v>
      </c>
      <c r="T57" s="34" t="s">
        <v>456</v>
      </c>
      <c r="U57" s="34">
        <v>2</v>
      </c>
      <c r="V57" s="34">
        <v>6</v>
      </c>
      <c r="W57" s="30">
        <v>364</v>
      </c>
      <c r="X57" s="660" t="s">
        <v>30</v>
      </c>
      <c r="Y57" s="34"/>
    </row>
    <row r="58" spans="1:26" ht="28.8" x14ac:dyDescent="0.3">
      <c r="A58" s="769" t="s">
        <v>72</v>
      </c>
      <c r="B58" s="769">
        <f>SUMIF(BOM!D:G,"BOIS")</f>
        <v>0</v>
      </c>
      <c r="C58" s="769" t="s">
        <v>414</v>
      </c>
      <c r="D58" s="799" t="s">
        <v>244</v>
      </c>
      <c r="E58" s="49" t="str">
        <f>VLOOKUP(BOM!D58,'RECAP MATIERE'!$A$17:$G$75,5,FALSE)</f>
        <v>EU28: Stainless steel cold rolled coil 304 (18,5% Cr, 9% Ni)</v>
      </c>
      <c r="F58" s="49" t="str">
        <f>VLOOKUP(BOM!D58,'RECAP MATIERE'!$A$17:$G$75,6,FALSE)</f>
        <v>DE: Aluminium cast part machining
+ TTH compris dans le steel tinplated</v>
      </c>
      <c r="G58" s="799">
        <v>9.2800000000000001E-3</v>
      </c>
      <c r="H58" s="773">
        <f t="shared" si="0"/>
        <v>0</v>
      </c>
      <c r="I58" s="799"/>
      <c r="J58" s="786"/>
      <c r="K58" s="49" t="str">
        <f>VLOOKUP(BOM!D58,'RECAP MATIERE'!$A$17:$G$75,7,FALSE)</f>
        <v>Crédit?</v>
      </c>
      <c r="L58" s="34"/>
      <c r="M58" s="34"/>
      <c r="N58" s="34"/>
      <c r="O58" s="34"/>
      <c r="P58" s="30" t="s">
        <v>414</v>
      </c>
      <c r="Q58" s="30" t="s">
        <v>61</v>
      </c>
      <c r="R58" s="30" t="s">
        <v>438</v>
      </c>
      <c r="S58" s="34">
        <v>0</v>
      </c>
      <c r="T58" s="34" t="s">
        <v>456</v>
      </c>
      <c r="U58" s="34">
        <v>2</v>
      </c>
      <c r="V58" s="34">
        <v>6</v>
      </c>
      <c r="W58" s="30">
        <v>364</v>
      </c>
      <c r="X58" s="660" t="s">
        <v>30</v>
      </c>
      <c r="Y58" s="34"/>
    </row>
    <row r="59" spans="1:26" ht="28.8" x14ac:dyDescent="0.3">
      <c r="A59" s="769" t="s">
        <v>72</v>
      </c>
      <c r="B59" s="769" t="s">
        <v>73</v>
      </c>
      <c r="C59" s="769" t="s">
        <v>414</v>
      </c>
      <c r="D59" s="800" t="s">
        <v>253</v>
      </c>
      <c r="E59" s="49" t="str">
        <f>VLOOKUP(BOM!D59,'RECAP MATIERE'!$A$17:$G$75,5,FALSE)</f>
        <v>EU: Steel tinplated</v>
      </c>
      <c r="F59" s="49" t="str">
        <f>VLOOKUP(BOM!D59,'RECAP MATIERE'!$A$17:$G$75,6,FALSE)</f>
        <v>DE: Aluminium cast part machining
+ TTH compris dans le steel tinplated</v>
      </c>
      <c r="G59" s="800">
        <v>9.4358100000000014E-2</v>
      </c>
      <c r="H59" s="773">
        <f t="shared" si="0"/>
        <v>0</v>
      </c>
      <c r="I59" s="800"/>
      <c r="J59" s="786"/>
      <c r="K59" s="49" t="str">
        <f>VLOOKUP(BOM!D59,'RECAP MATIERE'!$A$17:$G$75,7,FALSE)</f>
        <v>Crédit?</v>
      </c>
      <c r="L59" s="34"/>
      <c r="M59" s="34"/>
      <c r="N59" s="34"/>
      <c r="O59" s="34"/>
      <c r="P59" s="30" t="s">
        <v>414</v>
      </c>
      <c r="Q59" s="30" t="s">
        <v>61</v>
      </c>
      <c r="R59" s="30" t="s">
        <v>439</v>
      </c>
      <c r="S59" s="34">
        <v>0</v>
      </c>
      <c r="T59" s="34" t="s">
        <v>456</v>
      </c>
      <c r="U59" s="34">
        <v>2</v>
      </c>
      <c r="V59" s="34">
        <v>6</v>
      </c>
      <c r="W59" s="30">
        <v>364</v>
      </c>
      <c r="X59" s="660" t="s">
        <v>30</v>
      </c>
      <c r="Y59" s="34"/>
    </row>
    <row r="60" spans="1:26" ht="43.2" x14ac:dyDescent="0.3">
      <c r="A60" s="769" t="s">
        <v>72</v>
      </c>
      <c r="B60" s="769" t="s">
        <v>73</v>
      </c>
      <c r="C60" s="769" t="s">
        <v>414</v>
      </c>
      <c r="D60" s="784" t="s">
        <v>240</v>
      </c>
      <c r="E60" s="49" t="s">
        <v>457</v>
      </c>
      <c r="F60" s="49" t="str">
        <f>VLOOKUP(BOM!D60,'RECAP MATIERE'!$A$17:$G$75,6,FALSE)</f>
        <v>GLO: plastic injection moulding</v>
      </c>
      <c r="G60" s="784">
        <v>9.4500000000000001E-2</v>
      </c>
      <c r="H60" s="773">
        <f t="shared" si="0"/>
        <v>0</v>
      </c>
      <c r="I60" s="784"/>
      <c r="J60" s="786"/>
      <c r="K60" s="49" t="str">
        <f>VLOOKUP(BOM!D60,'RECAP MATIERE'!$A$17:$G$75,7,FALSE)</f>
        <v>[Nation] Plastics in waste incineration plants</v>
      </c>
      <c r="L60" s="34"/>
      <c r="M60" s="34"/>
      <c r="N60" s="34"/>
      <c r="O60" s="34"/>
      <c r="P60" s="30" t="s">
        <v>414</v>
      </c>
      <c r="Q60" s="30" t="s">
        <v>61</v>
      </c>
      <c r="R60" s="30" t="s">
        <v>440</v>
      </c>
      <c r="S60" s="34">
        <v>0</v>
      </c>
      <c r="T60" s="34" t="s">
        <v>456</v>
      </c>
      <c r="U60" s="34">
        <v>2</v>
      </c>
      <c r="V60" s="34">
        <v>6</v>
      </c>
      <c r="W60" s="30">
        <v>364</v>
      </c>
      <c r="X60" s="660" t="s">
        <v>30</v>
      </c>
      <c r="Y60" s="34"/>
    </row>
    <row r="61" spans="1:26" ht="43.2" x14ac:dyDescent="0.3">
      <c r="A61" s="769" t="s">
        <v>72</v>
      </c>
      <c r="B61" s="769" t="s">
        <v>73</v>
      </c>
      <c r="C61" s="769" t="s">
        <v>414</v>
      </c>
      <c r="D61" s="793" t="s">
        <v>262</v>
      </c>
      <c r="E61" s="49" t="str">
        <f>VLOOKUP(BOM!D61,'RECAP MATIERE'!$A$17:$G$75,5,FALSE)</f>
        <v>EU28: Polyamide 6</v>
      </c>
      <c r="F61" s="49" t="str">
        <f>VLOOKUP(BOM!D61,'RECAP MATIERE'!$A$17:$G$75,6,FALSE)</f>
        <v>GLO: plastic injection moulding</v>
      </c>
      <c r="G61" s="793">
        <v>0.02</v>
      </c>
      <c r="H61" s="773">
        <f t="shared" si="0"/>
        <v>0</v>
      </c>
      <c r="I61" s="793"/>
      <c r="J61" s="786"/>
      <c r="K61" s="49" t="str">
        <f>VLOOKUP(BOM!D61,'RECAP MATIERE'!$A$17:$G$75,7,FALSE)</f>
        <v>[Nation] Plastics in waste incineration plants</v>
      </c>
      <c r="L61" s="34"/>
      <c r="M61" s="34"/>
      <c r="N61" s="34"/>
      <c r="O61" s="34"/>
      <c r="P61" s="30" t="s">
        <v>414</v>
      </c>
      <c r="Q61" s="30" t="s">
        <v>61</v>
      </c>
      <c r="R61" s="30" t="s">
        <v>441</v>
      </c>
      <c r="S61" s="34">
        <v>0</v>
      </c>
      <c r="T61" s="34" t="s">
        <v>456</v>
      </c>
      <c r="U61" s="34">
        <v>2</v>
      </c>
      <c r="V61" s="34">
        <v>6</v>
      </c>
      <c r="W61" s="30">
        <v>364</v>
      </c>
      <c r="X61" s="660" t="s">
        <v>30</v>
      </c>
      <c r="Y61" s="34"/>
    </row>
    <row r="62" spans="1:26" ht="28.8" x14ac:dyDescent="0.3">
      <c r="A62" s="769" t="s">
        <v>72</v>
      </c>
      <c r="B62" s="769" t="s">
        <v>73</v>
      </c>
      <c r="C62" s="769" t="s">
        <v>414</v>
      </c>
      <c r="D62" s="796" t="s">
        <v>335</v>
      </c>
      <c r="E62" s="49" t="e">
        <f>VLOOKUP(BOM!D62,'RECAP MATIERE'!$A$17:$G$75,5,FALSE)</f>
        <v>#N/A</v>
      </c>
      <c r="F62" s="49" t="e">
        <f>VLOOKUP(BOM!D62,'RECAP MATIERE'!$A$17:$G$75,6,FALSE)</f>
        <v>#N/A</v>
      </c>
      <c r="G62" s="796">
        <v>0.22600000000000001</v>
      </c>
      <c r="H62" s="773">
        <f t="shared" si="0"/>
        <v>0</v>
      </c>
      <c r="I62" s="796"/>
      <c r="J62" s="786"/>
      <c r="K62" s="49" t="e">
        <f>VLOOKUP(BOM!D62,'RECAP MATIERE'!$A$17:$G$75,7,FALSE)</f>
        <v>#N/A</v>
      </c>
      <c r="L62" s="34"/>
      <c r="M62" s="34"/>
      <c r="N62" s="34"/>
      <c r="O62" s="34"/>
      <c r="P62" s="30" t="s">
        <v>414</v>
      </c>
      <c r="Q62" s="30" t="s">
        <v>61</v>
      </c>
      <c r="R62" s="30" t="s">
        <v>454</v>
      </c>
      <c r="S62" s="34">
        <v>0</v>
      </c>
      <c r="T62" s="34" t="s">
        <v>456</v>
      </c>
      <c r="U62" s="34">
        <v>2</v>
      </c>
      <c r="V62" s="34">
        <v>6</v>
      </c>
      <c r="W62" s="30">
        <v>364</v>
      </c>
      <c r="X62" s="660" t="s">
        <v>30</v>
      </c>
      <c r="Y62" s="34"/>
    </row>
    <row r="63" spans="1:26" ht="43.2" x14ac:dyDescent="0.3">
      <c r="A63" s="769" t="s">
        <v>72</v>
      </c>
      <c r="B63" s="769" t="s">
        <v>73</v>
      </c>
      <c r="C63" s="769" t="s">
        <v>414</v>
      </c>
      <c r="D63" s="797" t="s">
        <v>256</v>
      </c>
      <c r="E63" s="49" t="str">
        <f>VLOOKUP(BOM!D63,'RECAP MATIERE'!$A$17:$G$75,5,FALSE)</f>
        <v>DE: Silicon rubber</v>
      </c>
      <c r="F63" s="49" t="str">
        <f>VLOOKUP(BOM!D63,'RECAP MATIERE'!$A$17:$G$75,6,FALSE)</f>
        <v>GLO:  plastic injection moulding</v>
      </c>
      <c r="G63" s="798">
        <v>6.9999999999999999E-4</v>
      </c>
      <c r="H63" s="773">
        <f t="shared" si="0"/>
        <v>0</v>
      </c>
      <c r="I63" s="798"/>
      <c r="J63" s="786"/>
      <c r="K63" s="49" t="str">
        <f>VLOOKUP(BOM!D63,'RECAP MATIERE'!$A$17:$G$75,7,FALSE)</f>
        <v>[Nation] Plastics in waste incineration plants</v>
      </c>
      <c r="L63" s="34"/>
      <c r="M63" s="34"/>
      <c r="N63" s="34"/>
      <c r="O63" s="34"/>
      <c r="P63" s="30" t="s">
        <v>414</v>
      </c>
      <c r="Q63" s="30" t="s">
        <v>61</v>
      </c>
      <c r="R63" s="30" t="s">
        <v>455</v>
      </c>
      <c r="S63" s="34">
        <v>0</v>
      </c>
      <c r="T63" s="34" t="s">
        <v>456</v>
      </c>
      <c r="U63" s="34">
        <v>2</v>
      </c>
      <c r="V63" s="34">
        <v>6</v>
      </c>
      <c r="W63" s="30">
        <v>364</v>
      </c>
      <c r="X63" s="660" t="s">
        <v>30</v>
      </c>
      <c r="Y63" s="34"/>
    </row>
    <row r="64" spans="1:26" ht="28.8" x14ac:dyDescent="0.3">
      <c r="A64" s="769" t="s">
        <v>72</v>
      </c>
      <c r="B64" s="769" t="s">
        <v>243</v>
      </c>
      <c r="C64" s="769"/>
      <c r="D64" s="35" t="s">
        <v>452</v>
      </c>
      <c r="E64" s="49" t="str">
        <f>VLOOKUP(BOM!D64,'RECAP MATIERE'!$A$17:$G$75,5,FALSE)</f>
        <v>EU28: Plywood board</v>
      </c>
      <c r="F64" s="49" t="str">
        <f>VLOOKUP(BOM!D64,'RECAP MATIERE'!$A$17:$G$75,6,FALSE)</f>
        <v>N/A</v>
      </c>
      <c r="G64" s="798">
        <f>0.95*I64/40</f>
        <v>7.1249999999999994E-2</v>
      </c>
      <c r="H64" s="773">
        <f t="shared" si="0"/>
        <v>0</v>
      </c>
      <c r="I64" s="896">
        <f t="shared" ref="I64" si="5">V63/U63</f>
        <v>3</v>
      </c>
      <c r="J64" s="786"/>
      <c r="K64" s="49" t="str">
        <f>VLOOKUP(BOM!D64,'RECAP MATIERE'!$A$17:$G$75,7,FALSE)</f>
        <v>N/A</v>
      </c>
      <c r="L64" s="34"/>
      <c r="M64" s="34"/>
      <c r="N64" s="34"/>
      <c r="O64" s="34"/>
      <c r="P64" s="30"/>
      <c r="Q64" s="30"/>
      <c r="R64" s="30" t="s">
        <v>455</v>
      </c>
      <c r="S64" s="34">
        <v>0</v>
      </c>
      <c r="T64" s="34" t="s">
        <v>456</v>
      </c>
      <c r="U64" s="34"/>
      <c r="V64" s="34"/>
      <c r="W64" s="30"/>
      <c r="X64" s="660"/>
      <c r="Y64" s="34"/>
    </row>
    <row r="65" spans="1:26" ht="28.8" x14ac:dyDescent="0.3">
      <c r="A65" s="769" t="s">
        <v>72</v>
      </c>
      <c r="B65" s="769" t="s">
        <v>243</v>
      </c>
      <c r="C65" s="769"/>
      <c r="D65" s="35" t="s">
        <v>419</v>
      </c>
      <c r="E65" s="49"/>
      <c r="F65" s="49"/>
      <c r="G65" s="798">
        <f>0.045*I65/40</f>
        <v>3.3750000000000004E-3</v>
      </c>
      <c r="H65" s="773">
        <f t="shared" si="0"/>
        <v>0</v>
      </c>
      <c r="I65" s="896">
        <f>V63/U63</f>
        <v>3</v>
      </c>
      <c r="J65" s="786"/>
      <c r="K65" s="49"/>
      <c r="L65" s="34"/>
      <c r="M65" s="34"/>
      <c r="N65" s="34"/>
      <c r="O65" s="34"/>
      <c r="P65" s="30"/>
      <c r="Q65" s="30"/>
      <c r="R65" s="30" t="s">
        <v>455</v>
      </c>
      <c r="S65" s="34"/>
      <c r="T65" s="34"/>
      <c r="U65" s="34"/>
      <c r="V65" s="34"/>
      <c r="W65" s="30"/>
      <c r="X65" s="660"/>
      <c r="Y65" s="34"/>
    </row>
    <row r="66" spans="1:26" ht="28.8" x14ac:dyDescent="0.3">
      <c r="A66" s="769" t="s">
        <v>72</v>
      </c>
      <c r="B66" s="769" t="s">
        <v>243</v>
      </c>
      <c r="C66" s="769"/>
      <c r="D66" s="897" t="s">
        <v>131</v>
      </c>
      <c r="E66" s="49" t="str">
        <f>VLOOKUP(BOM!D66,'RECAP MATIERE'!$A$17:$G$75,5,FALSE)</f>
        <v>EU28: Expanded polyethylene foam</v>
      </c>
      <c r="F66" s="49" t="str">
        <f>VLOOKUP(BOM!D66,'RECAP MATIERE'!$A$17:$G$75,6,FALSE)</f>
        <v>N/A</v>
      </c>
      <c r="G66" s="897">
        <f>0.005*I66/40</f>
        <v>3.7500000000000001E-4</v>
      </c>
      <c r="H66" s="773">
        <f t="shared" si="0"/>
        <v>0</v>
      </c>
      <c r="I66" s="896">
        <f>V63/U63</f>
        <v>3</v>
      </c>
      <c r="J66" s="786"/>
      <c r="K66" s="49" t="str">
        <f>VLOOKUP(BOM!D66,'RECAP MATIERE'!$A$17:$G$75,7,FALSE)</f>
        <v>N/A</v>
      </c>
      <c r="L66" s="34"/>
      <c r="M66" s="34"/>
      <c r="N66" s="34"/>
      <c r="O66" s="34"/>
      <c r="P66" s="30"/>
      <c r="Q66" s="30"/>
      <c r="R66" s="30" t="s">
        <v>455</v>
      </c>
      <c r="S66" s="34">
        <v>0</v>
      </c>
      <c r="T66" s="34" t="s">
        <v>456</v>
      </c>
      <c r="U66" s="34"/>
      <c r="V66" s="34"/>
      <c r="W66" s="30"/>
      <c r="X66" s="660"/>
      <c r="Y66" s="34"/>
    </row>
    <row r="67" spans="1:26" ht="57.6" x14ac:dyDescent="0.3">
      <c r="A67" s="769" t="s">
        <v>78</v>
      </c>
      <c r="B67" s="769" t="s">
        <v>79</v>
      </c>
      <c r="C67" s="769" t="s">
        <v>414</v>
      </c>
      <c r="D67" s="772" t="s">
        <v>47</v>
      </c>
      <c r="E67" s="49" t="str">
        <f>VLOOKUP(BOM!D67,'RECAP MATIERE'!$A$17:$G$75,5,FALSE)</f>
        <v>EU28: AlCu4MgSi extrusion profile
ou EU28: AlCU4MgTi ingot
ou EU28 AlCu4Mg1  sheet</v>
      </c>
      <c r="F67" s="49" t="str">
        <f>VLOOKUP(BOM!D67,'RECAP MATIERE'!$A$17:$G$75,6,FALSE)</f>
        <v>DE: Aluminium cast part machining
+ SURTEC 650</v>
      </c>
      <c r="G67" s="773">
        <v>1.45</v>
      </c>
      <c r="H67" s="773">
        <f t="shared" ref="H67:H130" si="6">L67/G67</f>
        <v>12.08344827586207</v>
      </c>
      <c r="I67" s="773"/>
      <c r="J67" s="772">
        <v>16.071000000000002</v>
      </c>
      <c r="K67" s="49" t="str">
        <f>VLOOKUP(BOM!D67,'RECAP MATIERE'!$A$17:$G$75,7,FALSE)</f>
        <v>EU28: Aluminium remelting: wrought alloy ingot from scrap</v>
      </c>
      <c r="L67" s="772">
        <v>17.521000000000001</v>
      </c>
      <c r="M67" s="772" t="s">
        <v>413</v>
      </c>
      <c r="N67" s="772">
        <v>0.30099999999999999</v>
      </c>
      <c r="O67" s="772" t="s">
        <v>51</v>
      </c>
      <c r="P67" s="30" t="s">
        <v>414</v>
      </c>
      <c r="Q67" s="30" t="s">
        <v>61</v>
      </c>
      <c r="R67" s="30" t="s">
        <v>434</v>
      </c>
      <c r="S67" s="34">
        <v>0</v>
      </c>
      <c r="T67" s="34" t="s">
        <v>458</v>
      </c>
      <c r="U67" s="34">
        <v>4</v>
      </c>
      <c r="V67" s="34">
        <v>6</v>
      </c>
      <c r="W67" s="30">
        <v>364</v>
      </c>
      <c r="X67" s="660" t="s">
        <v>30</v>
      </c>
      <c r="Y67" s="34"/>
      <c r="Z67">
        <f>W67*SUM(G67:G73)*10^-3</f>
        <v>0.75160903999999995</v>
      </c>
    </row>
    <row r="68" spans="1:26" ht="57.6" x14ac:dyDescent="0.3">
      <c r="A68" s="769" t="s">
        <v>78</v>
      </c>
      <c r="B68" s="769" t="s">
        <v>79</v>
      </c>
      <c r="C68" s="769" t="s">
        <v>414</v>
      </c>
      <c r="D68" s="775" t="s">
        <v>91</v>
      </c>
      <c r="E68" s="49" t="str">
        <f>VLOOKUP(BOM!D68,'RECAP MATIERE'!$A$17:$G$75,5,FALSE)</f>
        <v>EU28: AlMg4.5 sheet</v>
      </c>
      <c r="F68" s="49" t="str">
        <f>VLOOKUP(BOM!D68,'RECAP MATIERE'!$A$17:$G$75,6,FALSE)</f>
        <v>DE: Aluminium cast part machining
GLO: Steel sheet stamping and bending</v>
      </c>
      <c r="G68" s="776">
        <v>0.50600000000000001</v>
      </c>
      <c r="H68" s="773">
        <f t="shared" si="6"/>
        <v>0</v>
      </c>
      <c r="I68" s="776"/>
      <c r="J68" s="775"/>
      <c r="K68" s="49" t="str">
        <f>VLOOKUP(BOM!D68,'RECAP MATIERE'!$A$17:$G$75,7,FALSE)</f>
        <v>EU28: Aluminium remelting: wrought alloy ingot from scrap</v>
      </c>
      <c r="L68" s="775"/>
      <c r="M68" s="775"/>
      <c r="N68" s="775"/>
      <c r="O68" s="890" t="s">
        <v>77</v>
      </c>
      <c r="P68" s="30" t="s">
        <v>414</v>
      </c>
      <c r="Q68" s="30" t="s">
        <v>61</v>
      </c>
      <c r="R68" s="30" t="s">
        <v>436</v>
      </c>
      <c r="S68" s="34">
        <v>0</v>
      </c>
      <c r="T68" s="34" t="s">
        <v>458</v>
      </c>
      <c r="U68" s="34">
        <v>4</v>
      </c>
      <c r="V68" s="34">
        <v>6</v>
      </c>
      <c r="W68" s="30">
        <v>364</v>
      </c>
      <c r="X68" s="660" t="s">
        <v>30</v>
      </c>
      <c r="Y68" s="34"/>
    </row>
    <row r="69" spans="1:26" ht="28.8" x14ac:dyDescent="0.3">
      <c r="A69" s="769" t="s">
        <v>78</v>
      </c>
      <c r="B69" s="769" t="s">
        <v>79</v>
      </c>
      <c r="C69" s="769" t="s">
        <v>414</v>
      </c>
      <c r="D69" s="371" t="s">
        <v>244</v>
      </c>
      <c r="E69" s="49" t="str">
        <f>VLOOKUP(BOM!D69,'RECAP MATIERE'!$A$17:$G$75,5,FALSE)</f>
        <v>EU28: Stainless steel cold rolled coil 304 (18,5% Cr, 9% Ni)</v>
      </c>
      <c r="F69" s="49" t="str">
        <f>VLOOKUP(BOM!D69,'RECAP MATIERE'!$A$17:$G$75,6,FALSE)</f>
        <v>DE: Aluminium cast part machining
+ TTH compris dans le steel tinplated</v>
      </c>
      <c r="G69" s="371">
        <v>1.4E-2</v>
      </c>
      <c r="H69" s="773">
        <f t="shared" si="6"/>
        <v>0</v>
      </c>
      <c r="I69" s="371"/>
      <c r="J69" s="371"/>
      <c r="K69" s="49" t="str">
        <f>VLOOKUP(BOM!D69,'RECAP MATIERE'!$A$17:$G$75,7,FALSE)</f>
        <v>Crédit?</v>
      </c>
      <c r="L69" s="371"/>
      <c r="M69" s="371"/>
      <c r="N69" s="371"/>
      <c r="O69" s="801"/>
      <c r="P69" s="30" t="s">
        <v>414</v>
      </c>
      <c r="Q69" s="30" t="s">
        <v>61</v>
      </c>
      <c r="R69" s="30" t="s">
        <v>437</v>
      </c>
      <c r="S69" s="34">
        <v>0</v>
      </c>
      <c r="T69" s="34" t="s">
        <v>458</v>
      </c>
      <c r="U69" s="34">
        <v>4</v>
      </c>
      <c r="V69" s="34">
        <v>6</v>
      </c>
      <c r="W69" s="30">
        <v>364</v>
      </c>
      <c r="X69" s="660" t="s">
        <v>30</v>
      </c>
      <c r="Y69" s="34"/>
    </row>
    <row r="70" spans="1:26" ht="28.8" x14ac:dyDescent="0.3">
      <c r="A70" s="769" t="s">
        <v>78</v>
      </c>
      <c r="B70" s="769" t="s">
        <v>79</v>
      </c>
      <c r="C70" s="769" t="s">
        <v>414</v>
      </c>
      <c r="D70" s="372" t="s">
        <v>253</v>
      </c>
      <c r="E70" s="49" t="str">
        <f>VLOOKUP(BOM!D70,'RECAP MATIERE'!$A$17:$G$75,5,FALSE)</f>
        <v>EU: Steel tinplated</v>
      </c>
      <c r="F70" s="49" t="str">
        <f>VLOOKUP(BOM!D70,'RECAP MATIERE'!$A$17:$G$75,6,FALSE)</f>
        <v>DE: Aluminium cast part machining
+ TTH compris dans le steel tinplated</v>
      </c>
      <c r="G70" s="372">
        <v>5.7360000000000001E-2</v>
      </c>
      <c r="H70" s="773">
        <f t="shared" si="6"/>
        <v>0</v>
      </c>
      <c r="I70" s="372"/>
      <c r="J70" s="802"/>
      <c r="K70" s="49" t="str">
        <f>VLOOKUP(BOM!D70,'RECAP MATIERE'!$A$17:$G$75,7,FALSE)</f>
        <v>Crédit?</v>
      </c>
      <c r="L70" s="803"/>
      <c r="M70" s="803"/>
      <c r="N70" s="803"/>
      <c r="O70" s="803"/>
      <c r="P70" s="30" t="s">
        <v>414</v>
      </c>
      <c r="Q70" s="30" t="s">
        <v>61</v>
      </c>
      <c r="R70" s="30" t="s">
        <v>438</v>
      </c>
      <c r="S70" s="34">
        <v>0</v>
      </c>
      <c r="T70" s="34" t="s">
        <v>458</v>
      </c>
      <c r="U70" s="34">
        <v>4</v>
      </c>
      <c r="V70" s="34">
        <v>6</v>
      </c>
      <c r="W70" s="30">
        <v>364</v>
      </c>
      <c r="X70" s="660" t="s">
        <v>30</v>
      </c>
      <c r="Y70" s="34"/>
    </row>
    <row r="71" spans="1:26" x14ac:dyDescent="0.3">
      <c r="A71" s="769" t="s">
        <v>78</v>
      </c>
      <c r="B71" s="769" t="s">
        <v>243</v>
      </c>
      <c r="C71" s="769"/>
      <c r="D71" s="35" t="s">
        <v>452</v>
      </c>
      <c r="E71" s="49" t="str">
        <f>VLOOKUP(BOM!D71,'RECAP MATIERE'!$A$17:$G$75,5,FALSE)</f>
        <v>EU28: Plywood board</v>
      </c>
      <c r="F71" s="49" t="str">
        <f>VLOOKUP(BOM!D71,'RECAP MATIERE'!$A$17:$G$75,6,FALSE)</f>
        <v>N/A</v>
      </c>
      <c r="G71" s="798">
        <f>0.95*I71/40</f>
        <v>3.5624999999999997E-2</v>
      </c>
      <c r="H71" s="773">
        <f t="shared" si="6"/>
        <v>0</v>
      </c>
      <c r="I71" s="896">
        <f t="shared" ref="I71" si="7">V70/U70</f>
        <v>1.5</v>
      </c>
      <c r="J71" s="802"/>
      <c r="K71" s="49" t="str">
        <f>VLOOKUP(BOM!D71,'RECAP MATIERE'!$A$17:$G$75,7,FALSE)</f>
        <v>N/A</v>
      </c>
      <c r="L71" s="803"/>
      <c r="M71" s="803"/>
      <c r="N71" s="803"/>
      <c r="O71" s="803"/>
      <c r="P71" s="30"/>
      <c r="Q71" s="30"/>
      <c r="R71" s="30" t="s">
        <v>438</v>
      </c>
      <c r="S71" s="34">
        <v>0</v>
      </c>
      <c r="T71" s="34" t="s">
        <v>458</v>
      </c>
      <c r="U71" s="34"/>
      <c r="V71" s="34"/>
      <c r="W71" s="30"/>
      <c r="X71" s="660"/>
      <c r="Y71" s="34"/>
    </row>
    <row r="72" spans="1:26" x14ac:dyDescent="0.3">
      <c r="A72" s="769" t="s">
        <v>78</v>
      </c>
      <c r="B72" s="769" t="s">
        <v>243</v>
      </c>
      <c r="C72" s="769"/>
      <c r="D72" s="35" t="s">
        <v>419</v>
      </c>
      <c r="E72" s="49"/>
      <c r="F72" s="49"/>
      <c r="G72" s="798">
        <f>0.045*I72/40</f>
        <v>1.6875000000000002E-3</v>
      </c>
      <c r="H72" s="773">
        <f t="shared" si="6"/>
        <v>0</v>
      </c>
      <c r="I72" s="896">
        <f>V70/U70</f>
        <v>1.5</v>
      </c>
      <c r="J72" s="802"/>
      <c r="K72" s="49"/>
      <c r="L72" s="803"/>
      <c r="M72" s="803"/>
      <c r="N72" s="803"/>
      <c r="O72" s="803"/>
      <c r="P72" s="30"/>
      <c r="Q72" s="30"/>
      <c r="R72" s="30" t="s">
        <v>438</v>
      </c>
      <c r="S72" s="34"/>
      <c r="T72" s="34"/>
      <c r="U72" s="34"/>
      <c r="V72" s="34"/>
      <c r="W72" s="30"/>
      <c r="X72" s="660"/>
      <c r="Y72" s="34"/>
    </row>
    <row r="73" spans="1:26" x14ac:dyDescent="0.3">
      <c r="A73" s="769" t="s">
        <v>78</v>
      </c>
      <c r="B73" s="769" t="s">
        <v>243</v>
      </c>
      <c r="C73" s="769"/>
      <c r="D73" s="897" t="s">
        <v>131</v>
      </c>
      <c r="E73" s="49" t="str">
        <f>VLOOKUP(BOM!D73,'RECAP MATIERE'!$A$17:$G$75,5,FALSE)</f>
        <v>EU28: Expanded polyethylene foam</v>
      </c>
      <c r="F73" s="49" t="str">
        <f>VLOOKUP(BOM!D73,'RECAP MATIERE'!$A$17:$G$75,6,FALSE)</f>
        <v>N/A</v>
      </c>
      <c r="G73" s="897">
        <f>0.005*I73/40</f>
        <v>1.875E-4</v>
      </c>
      <c r="H73" s="773">
        <f t="shared" si="6"/>
        <v>0</v>
      </c>
      <c r="I73" s="896">
        <f>V70/U70</f>
        <v>1.5</v>
      </c>
      <c r="J73" s="802"/>
      <c r="K73" s="49" t="str">
        <f>VLOOKUP(BOM!D73,'RECAP MATIERE'!$A$17:$G$75,7,FALSE)</f>
        <v>N/A</v>
      </c>
      <c r="L73" s="803"/>
      <c r="M73" s="803"/>
      <c r="N73" s="803"/>
      <c r="O73" s="803"/>
      <c r="P73" s="30"/>
      <c r="Q73" s="30"/>
      <c r="R73" s="30" t="s">
        <v>438</v>
      </c>
      <c r="S73" s="34">
        <v>0</v>
      </c>
      <c r="T73" s="34" t="s">
        <v>458</v>
      </c>
      <c r="U73" s="34"/>
      <c r="V73" s="34"/>
      <c r="W73" s="30"/>
      <c r="X73" s="660"/>
      <c r="Y73" s="34"/>
    </row>
    <row r="74" spans="1:26" ht="57.6" x14ac:dyDescent="0.3">
      <c r="A74" s="769" t="s">
        <v>81</v>
      </c>
      <c r="B74" s="769" t="s">
        <v>82</v>
      </c>
      <c r="C74" s="769" t="s">
        <v>83</v>
      </c>
      <c r="D74" s="804" t="s">
        <v>269</v>
      </c>
      <c r="E74" s="49" t="str">
        <f>VLOOKUP(BOM!D74,'RECAP MATIERE'!$A$17:$G$75,5,FALSE)</f>
        <v>DE: AlMgSi0,7 ingot (Al6062)
DE: AlMgSi1 ingot (Al6082)</v>
      </c>
      <c r="F74" s="49" t="str">
        <f>VLOOKUP(BOM!D74,'RECAP MATIERE'!$A$17:$G$75,6,FALSE)</f>
        <v>DE: Aluminium cast part machining
GLO: Steel sheet stamping and bending</v>
      </c>
      <c r="G74" s="805">
        <v>0.40400000000000003</v>
      </c>
      <c r="H74" s="773">
        <f t="shared" si="6"/>
        <v>0</v>
      </c>
      <c r="I74" s="805"/>
      <c r="J74" s="786"/>
      <c r="K74" s="49" t="str">
        <f>VLOOKUP(BOM!D74,'RECAP MATIERE'!$A$17:$G$75,7,FALSE)</f>
        <v>EU28: Aluminium remelting: wrought alloy ingot from scrap</v>
      </c>
      <c r="L74" s="34"/>
      <c r="M74" s="34"/>
      <c r="N74" s="34"/>
      <c r="O74" s="34"/>
      <c r="P74" s="33" t="s">
        <v>459</v>
      </c>
      <c r="Q74" s="33" t="s">
        <v>86</v>
      </c>
      <c r="R74" s="33" t="s">
        <v>460</v>
      </c>
      <c r="S74" s="34" t="s">
        <v>461</v>
      </c>
      <c r="T74" s="34">
        <v>0</v>
      </c>
      <c r="U74" s="34">
        <v>6</v>
      </c>
      <c r="V74" s="34">
        <v>17</v>
      </c>
      <c r="W74" s="33">
        <v>408</v>
      </c>
      <c r="X74" s="660" t="s">
        <v>30</v>
      </c>
      <c r="Y74" s="34"/>
      <c r="Z74">
        <f>W74*SUM(G74:G80)*10^-3</f>
        <v>1.7019040000000007</v>
      </c>
    </row>
    <row r="75" spans="1:26" ht="57.6" x14ac:dyDescent="0.3">
      <c r="A75" s="769" t="s">
        <v>81</v>
      </c>
      <c r="B75" s="769" t="s">
        <v>82</v>
      </c>
      <c r="C75" s="769" t="s">
        <v>83</v>
      </c>
      <c r="D75" s="775" t="s">
        <v>91</v>
      </c>
      <c r="E75" s="49" t="str">
        <f>VLOOKUP(BOM!D75,'RECAP MATIERE'!$A$17:$G$75,5,FALSE)</f>
        <v>EU28: AlMg4.5 sheet</v>
      </c>
      <c r="F75" s="49" t="str">
        <f>VLOOKUP(BOM!D75,'RECAP MATIERE'!$A$17:$G$75,6,FALSE)</f>
        <v>DE: Aluminium cast part machining
GLO: Steel sheet stamping and bending</v>
      </c>
      <c r="G75" s="776">
        <v>0.93100000000000016</v>
      </c>
      <c r="H75" s="773">
        <f t="shared" si="6"/>
        <v>0</v>
      </c>
      <c r="I75" s="776"/>
      <c r="J75" s="786"/>
      <c r="K75" s="49" t="str">
        <f>VLOOKUP(BOM!D75,'RECAP MATIERE'!$A$17:$G$75,7,FALSE)</f>
        <v>EU28: Aluminium remelting: wrought alloy ingot from scrap</v>
      </c>
      <c r="L75" s="34"/>
      <c r="M75" s="34"/>
      <c r="N75" s="34"/>
      <c r="O75" s="34"/>
      <c r="P75" s="33" t="s">
        <v>459</v>
      </c>
      <c r="Q75" s="33" t="s">
        <v>86</v>
      </c>
      <c r="R75" s="33" t="s">
        <v>462</v>
      </c>
      <c r="S75" s="34" t="s">
        <v>461</v>
      </c>
      <c r="T75" s="34">
        <v>0</v>
      </c>
      <c r="U75" s="34">
        <v>6</v>
      </c>
      <c r="V75" s="34">
        <v>17</v>
      </c>
      <c r="W75" s="33">
        <v>408</v>
      </c>
      <c r="X75" s="660" t="s">
        <v>30</v>
      </c>
      <c r="Y75" s="34"/>
    </row>
    <row r="76" spans="1:26" ht="43.2" x14ac:dyDescent="0.3">
      <c r="A76" s="769" t="s">
        <v>81</v>
      </c>
      <c r="B76" s="769" t="s">
        <v>82</v>
      </c>
      <c r="C76" s="769" t="s">
        <v>83</v>
      </c>
      <c r="D76" s="372" t="s">
        <v>253</v>
      </c>
      <c r="E76" s="49" t="str">
        <f>VLOOKUP(BOM!D76,'RECAP MATIERE'!$A$17:$G$75,5,FALSE)</f>
        <v>EU: Steel tinplated</v>
      </c>
      <c r="F76" s="49" t="str">
        <f>VLOOKUP(BOM!D76,'RECAP MATIERE'!$A$17:$G$75,6,FALSE)</f>
        <v>DE: Aluminium cast part machining
+ TTH compris dans le steel tinplated</v>
      </c>
      <c r="G76" s="372">
        <v>3.0000000000000001E-3</v>
      </c>
      <c r="H76" s="773">
        <f t="shared" si="6"/>
        <v>0</v>
      </c>
      <c r="I76" s="372"/>
      <c r="J76" s="786"/>
      <c r="K76" s="49" t="str">
        <f>VLOOKUP(BOM!D76,'RECAP MATIERE'!$A$17:$G$75,7,FALSE)</f>
        <v>Crédit?</v>
      </c>
      <c r="L76" s="34"/>
      <c r="M76" s="34"/>
      <c r="N76" s="34"/>
      <c r="O76" s="34"/>
      <c r="P76" s="33" t="s">
        <v>459</v>
      </c>
      <c r="Q76" s="33" t="s">
        <v>86</v>
      </c>
      <c r="R76" s="33" t="s">
        <v>463</v>
      </c>
      <c r="S76" s="34" t="s">
        <v>461</v>
      </c>
      <c r="T76" s="34">
        <v>0</v>
      </c>
      <c r="U76" s="34">
        <v>6</v>
      </c>
      <c r="V76" s="34">
        <v>17</v>
      </c>
      <c r="W76" s="33">
        <v>408</v>
      </c>
      <c r="X76" s="660" t="s">
        <v>30</v>
      </c>
      <c r="Y76" s="34"/>
    </row>
    <row r="77" spans="1:26" x14ac:dyDescent="0.3">
      <c r="A77" s="769" t="s">
        <v>81</v>
      </c>
      <c r="B77" s="769" t="s">
        <v>243</v>
      </c>
      <c r="C77" s="769"/>
      <c r="D77" s="896" t="s">
        <v>419</v>
      </c>
      <c r="E77" s="49" t="str">
        <f>VLOOKUP(BOM!D77,'RECAP MATIERE'!$A$17:$G$75,5,FALSE)</f>
        <v>EU28: Carton from folding boxboard</v>
      </c>
      <c r="F77" s="49" t="str">
        <f>VLOOKUP(BOM!D77,'RECAP MATIERE'!$A$17:$G$75,6,FALSE)</f>
        <v>N/A</v>
      </c>
      <c r="G77" s="896">
        <f>0.1*I77</f>
        <v>0.28333333333333338</v>
      </c>
      <c r="H77" s="773">
        <f t="shared" si="6"/>
        <v>0</v>
      </c>
      <c r="I77" s="896">
        <f t="shared" ref="I77" si="8">V76/U76</f>
        <v>2.8333333333333335</v>
      </c>
      <c r="J77" s="786"/>
      <c r="K77" s="49" t="str">
        <f>VLOOKUP(BOM!D77,'RECAP MATIERE'!$A$17:$G$75,7,FALSE)</f>
        <v>N/A</v>
      </c>
      <c r="L77" s="34"/>
      <c r="M77" s="34"/>
      <c r="N77" s="34"/>
      <c r="O77" s="894"/>
      <c r="P77" s="33"/>
      <c r="Q77" s="33"/>
      <c r="R77" s="33" t="s">
        <v>463</v>
      </c>
      <c r="S77" s="34" t="s">
        <v>461</v>
      </c>
      <c r="T77" s="34">
        <v>0</v>
      </c>
      <c r="U77" s="34"/>
      <c r="V77" s="34"/>
      <c r="W77" s="33"/>
      <c r="X77" s="660"/>
      <c r="Y77" s="34"/>
    </row>
    <row r="78" spans="1:26" x14ac:dyDescent="0.3">
      <c r="A78" s="769" t="s">
        <v>81</v>
      </c>
      <c r="B78" s="769" t="s">
        <v>243</v>
      </c>
      <c r="C78" s="769"/>
      <c r="D78" s="898" t="s">
        <v>432</v>
      </c>
      <c r="E78" s="49" t="str">
        <f>VLOOKUP(BOM!D78,'RECAP MATIERE'!$A$17:$G$75,5,FALSE)</f>
        <v>Flat pallet</v>
      </c>
      <c r="F78" s="49" t="str">
        <f>VLOOKUP(BOM!D78,'RECAP MATIERE'!$A$17:$G$75,6,FALSE)</f>
        <v>N/A</v>
      </c>
      <c r="G78" s="898">
        <f>0.89*I78</f>
        <v>2.5216666666666669</v>
      </c>
      <c r="H78" s="773">
        <f t="shared" si="6"/>
        <v>0</v>
      </c>
      <c r="I78" s="896">
        <f>V76/U76</f>
        <v>2.8333333333333335</v>
      </c>
      <c r="J78" s="786"/>
      <c r="K78" s="49" t="str">
        <f>VLOOKUP(BOM!D78,'RECAP MATIERE'!$A$17:$G$75,7,FALSE)</f>
        <v>N/A</v>
      </c>
      <c r="L78" s="34"/>
      <c r="M78" s="34"/>
      <c r="N78" s="34"/>
      <c r="O78" s="894"/>
      <c r="P78" s="33"/>
      <c r="Q78" s="33"/>
      <c r="R78" s="33" t="s">
        <v>463</v>
      </c>
      <c r="S78" s="34" t="s">
        <v>461</v>
      </c>
      <c r="T78" s="34">
        <v>0</v>
      </c>
      <c r="U78" s="34"/>
      <c r="V78" s="34"/>
      <c r="W78" s="33"/>
      <c r="X78" s="660"/>
      <c r="Y78" s="34"/>
    </row>
    <row r="79" spans="1:26" x14ac:dyDescent="0.3">
      <c r="A79" s="769" t="s">
        <v>81</v>
      </c>
      <c r="B79" s="769" t="s">
        <v>243</v>
      </c>
      <c r="C79" s="769"/>
      <c r="D79" s="900" t="s">
        <v>442</v>
      </c>
      <c r="E79" s="49" t="str">
        <f>VLOOKUP(BOM!D79,'RECAP MATIERE'!$A$17:$G$75,5,FALSE)</f>
        <v>EU25: Graphic paper</v>
      </c>
      <c r="F79" s="49" t="str">
        <f>VLOOKUP(BOM!D79,'RECAP MATIERE'!$A$17:$G$75,6,FALSE)</f>
        <v>N/A</v>
      </c>
      <c r="G79" s="900">
        <f>0.005*I79</f>
        <v>1.4166666666666668E-2</v>
      </c>
      <c r="H79" s="773">
        <f t="shared" si="6"/>
        <v>0</v>
      </c>
      <c r="I79" s="896">
        <f>V76/U76</f>
        <v>2.8333333333333335</v>
      </c>
      <c r="J79" s="786"/>
      <c r="K79" s="49" t="str">
        <f>VLOOKUP(BOM!D79,'RECAP MATIERE'!$A$17:$G$75,7,FALSE)</f>
        <v>N/A</v>
      </c>
      <c r="L79" s="34"/>
      <c r="M79" s="34"/>
      <c r="N79" s="34"/>
      <c r="O79" s="894"/>
      <c r="P79" s="33"/>
      <c r="Q79" s="33"/>
      <c r="R79" s="33" t="s">
        <v>463</v>
      </c>
      <c r="S79" s="34" t="s">
        <v>461</v>
      </c>
      <c r="T79" s="34">
        <v>0</v>
      </c>
      <c r="U79" s="34"/>
      <c r="V79" s="34"/>
      <c r="W79" s="33"/>
      <c r="X79" s="660"/>
      <c r="Y79" s="34"/>
    </row>
    <row r="80" spans="1:26" x14ac:dyDescent="0.3">
      <c r="A80" s="769" t="s">
        <v>81</v>
      </c>
      <c r="B80" s="769" t="s">
        <v>243</v>
      </c>
      <c r="C80" s="769"/>
      <c r="D80" s="899" t="s">
        <v>464</v>
      </c>
      <c r="E80" s="49" t="str">
        <f>VLOOKUP(BOM!D80,'RECAP MATIERE'!$A$17:$G$75,5,FALSE)</f>
        <v>RER: Polyethylene film (PE-LD)</v>
      </c>
      <c r="F80" s="49" t="str">
        <f>VLOOKUP(BOM!D80,'RECAP MATIERE'!$A$17:$G$75,6,FALSE)</f>
        <v>N/A</v>
      </c>
      <c r="G80" s="900">
        <f>0.005*I80</f>
        <v>1.4166666666666668E-2</v>
      </c>
      <c r="H80" s="773">
        <f t="shared" si="6"/>
        <v>0</v>
      </c>
      <c r="I80" s="896">
        <f>V76/U76</f>
        <v>2.8333333333333335</v>
      </c>
      <c r="J80" s="786"/>
      <c r="K80" s="49" t="str">
        <f>VLOOKUP(BOM!D80,'RECAP MATIERE'!$A$17:$G$75,7,FALSE)</f>
        <v>N/A</v>
      </c>
      <c r="L80" s="34"/>
      <c r="M80" s="34"/>
      <c r="N80" s="34"/>
      <c r="O80" s="894"/>
      <c r="P80" s="33"/>
      <c r="Q80" s="33"/>
      <c r="R80" s="33" t="s">
        <v>463</v>
      </c>
      <c r="S80" s="34" t="s">
        <v>461</v>
      </c>
      <c r="T80" s="34">
        <v>0</v>
      </c>
      <c r="U80" s="34"/>
      <c r="V80" s="34"/>
      <c r="W80" s="33"/>
      <c r="X80" s="660"/>
      <c r="Y80" s="34"/>
    </row>
    <row r="81" spans="1:26" ht="57.6" x14ac:dyDescent="0.3">
      <c r="A81" s="769" t="s">
        <v>88</v>
      </c>
      <c r="B81" s="769" t="s">
        <v>89</v>
      </c>
      <c r="C81" s="769" t="s">
        <v>90</v>
      </c>
      <c r="D81" s="775" t="s">
        <v>91</v>
      </c>
      <c r="E81" s="49" t="str">
        <f>VLOOKUP(BOM!D81,'RECAP MATIERE'!$A$17:$G$75,5,FALSE)</f>
        <v>EU28: AlMg4.5 sheet</v>
      </c>
      <c r="F81" s="49" t="str">
        <f>VLOOKUP(BOM!D81,'RECAP MATIERE'!$A$17:$G$75,6,FALSE)</f>
        <v>DE: Aluminium cast part machining
GLO: Steel sheet stamping and bending</v>
      </c>
      <c r="G81" s="776">
        <v>1.03</v>
      </c>
      <c r="H81" s="773">
        <f t="shared" si="6"/>
        <v>0</v>
      </c>
      <c r="I81" s="776"/>
      <c r="J81" s="786"/>
      <c r="K81" s="49" t="str">
        <f>VLOOKUP(BOM!D81,'RECAP MATIERE'!$A$17:$G$75,7,FALSE)</f>
        <v>EU28: Aluminium remelting: wrought alloy ingot from scrap</v>
      </c>
      <c r="L81" s="34"/>
      <c r="M81" s="34"/>
      <c r="N81" s="34"/>
      <c r="O81" s="890" t="s">
        <v>77</v>
      </c>
      <c r="P81" s="30" t="s">
        <v>465</v>
      </c>
      <c r="Q81" s="30" t="s">
        <v>93</v>
      </c>
      <c r="R81" s="30" t="s">
        <v>466</v>
      </c>
      <c r="S81" s="34">
        <v>0</v>
      </c>
      <c r="T81" s="34" t="s">
        <v>467</v>
      </c>
      <c r="U81" s="34" t="s">
        <v>468</v>
      </c>
      <c r="V81" s="34">
        <v>36</v>
      </c>
      <c r="W81" s="30">
        <v>241</v>
      </c>
      <c r="X81" s="660" t="s">
        <v>30</v>
      </c>
      <c r="Y81" s="34"/>
      <c r="Z81">
        <f>W81*SUM(G81:G86)*10^-3</f>
        <v>0.25645089988825626</v>
      </c>
    </row>
    <row r="82" spans="1:26" ht="28.8" x14ac:dyDescent="0.3">
      <c r="A82" s="769" t="s">
        <v>88</v>
      </c>
      <c r="B82" s="769" t="s">
        <v>89</v>
      </c>
      <c r="C82" s="769" t="s">
        <v>90</v>
      </c>
      <c r="D82" s="372" t="s">
        <v>253</v>
      </c>
      <c r="E82" s="49" t="str">
        <f>VLOOKUP(BOM!D82,'RECAP MATIERE'!$A$17:$G$75,5,FALSE)</f>
        <v>EU: Steel tinplated</v>
      </c>
      <c r="F82" s="49" t="str">
        <f>VLOOKUP(BOM!D82,'RECAP MATIERE'!$A$17:$G$75,6,FALSE)</f>
        <v>DE: Aluminium cast part machining
+ TTH compris dans le steel tinplated</v>
      </c>
      <c r="G82" s="372">
        <v>2.70916E-2</v>
      </c>
      <c r="H82" s="773">
        <f t="shared" si="6"/>
        <v>0</v>
      </c>
      <c r="I82" s="372"/>
      <c r="J82" s="786"/>
      <c r="K82" s="49" t="str">
        <f>VLOOKUP(BOM!D82,'RECAP MATIERE'!$A$17:$G$75,7,FALSE)</f>
        <v>Crédit?</v>
      </c>
      <c r="L82" s="34"/>
      <c r="M82" s="34"/>
      <c r="N82" s="34"/>
      <c r="O82" s="34"/>
      <c r="P82" s="30" t="s">
        <v>465</v>
      </c>
      <c r="Q82" s="30" t="s">
        <v>93</v>
      </c>
      <c r="R82" s="30" t="s">
        <v>469</v>
      </c>
      <c r="S82" s="34">
        <v>0</v>
      </c>
      <c r="T82" s="34" t="s">
        <v>467</v>
      </c>
      <c r="U82" s="34" t="s">
        <v>468</v>
      </c>
      <c r="V82" s="34">
        <v>36</v>
      </c>
      <c r="W82" s="30">
        <v>242</v>
      </c>
      <c r="X82" s="660" t="s">
        <v>30</v>
      </c>
      <c r="Y82" s="34"/>
    </row>
    <row r="83" spans="1:26" ht="43.2" x14ac:dyDescent="0.3">
      <c r="A83" s="769" t="s">
        <v>88</v>
      </c>
      <c r="B83" s="769" t="s">
        <v>89</v>
      </c>
      <c r="C83" s="769" t="s">
        <v>90</v>
      </c>
      <c r="D83" s="806" t="s">
        <v>255</v>
      </c>
      <c r="E83" s="49" t="str">
        <f>VLOOKUP(BOM!D83,'RECAP MATIERE'!$A$17:$G$75,5,FALSE)</f>
        <v>EU28: Polyurethane flexible foam, with flame retardant
EU28: PA6.6 fibres</v>
      </c>
      <c r="F83" s="49" t="str">
        <f>VLOOKUP(BOM!D83,'RECAP MATIERE'!$A$17:$G$75,6,FALSE)</f>
        <v>N/A</v>
      </c>
      <c r="G83" s="806">
        <v>7.0000000000000001E-3</v>
      </c>
      <c r="H83" s="773">
        <f t="shared" si="6"/>
        <v>0</v>
      </c>
      <c r="I83" s="806"/>
      <c r="J83" s="786"/>
      <c r="K83" s="49" t="str">
        <f>VLOOKUP(BOM!D83,'RECAP MATIERE'!$A$17:$G$75,7,FALSE)</f>
        <v>[Nation] Plastics in waste incineration plants</v>
      </c>
      <c r="L83" s="34"/>
      <c r="M83" s="34"/>
      <c r="N83" s="34"/>
      <c r="O83" s="34"/>
      <c r="P83" s="30" t="s">
        <v>465</v>
      </c>
      <c r="Q83" s="30" t="s">
        <v>93</v>
      </c>
      <c r="R83" s="30" t="s">
        <v>470</v>
      </c>
      <c r="S83" s="34">
        <v>0</v>
      </c>
      <c r="T83" s="34" t="s">
        <v>467</v>
      </c>
      <c r="U83" s="34" t="s">
        <v>468</v>
      </c>
      <c r="V83" s="34">
        <v>36</v>
      </c>
      <c r="W83" s="30">
        <v>243</v>
      </c>
      <c r="X83" s="660" t="s">
        <v>30</v>
      </c>
      <c r="Y83" s="34"/>
    </row>
    <row r="84" spans="1:26" x14ac:dyDescent="0.3">
      <c r="A84" s="769" t="s">
        <v>88</v>
      </c>
      <c r="B84" s="769" t="s">
        <v>243</v>
      </c>
      <c r="C84" s="769"/>
      <c r="D84" s="35" t="s">
        <v>452</v>
      </c>
      <c r="E84" s="49" t="str">
        <f>VLOOKUP(BOM!D84,'RECAP MATIERE'!$A$17:$G$75,5,FALSE)</f>
        <v>EU28: Plywood board</v>
      </c>
      <c r="F84" s="49" t="str">
        <f>VLOOKUP(BOM!D84,'RECAP MATIERE'!$A$17:$G$75,6,FALSE)</f>
        <v>N/A</v>
      </c>
      <c r="G84" s="798">
        <f>0.95*I84/40</f>
        <v>1.9016903914590749E-5</v>
      </c>
      <c r="H84" s="773">
        <f t="shared" si="6"/>
        <v>0</v>
      </c>
      <c r="I84" s="896">
        <f t="shared" ref="I84" si="9">V83/U83</f>
        <v>8.00711743772242E-4</v>
      </c>
      <c r="J84" s="786"/>
      <c r="K84" s="49" t="str">
        <f>VLOOKUP(BOM!D84,'RECAP MATIERE'!$A$17:$G$75,7,FALSE)</f>
        <v>N/A</v>
      </c>
      <c r="L84" s="34"/>
      <c r="M84" s="34"/>
      <c r="N84" s="34"/>
      <c r="O84" s="34"/>
      <c r="P84" s="30"/>
      <c r="Q84" s="30"/>
      <c r="R84" s="30" t="s">
        <v>470</v>
      </c>
      <c r="S84" s="34">
        <v>0</v>
      </c>
      <c r="T84" s="34" t="s">
        <v>467</v>
      </c>
      <c r="U84" s="34"/>
      <c r="V84" s="34"/>
      <c r="W84" s="30"/>
      <c r="X84" s="660"/>
      <c r="Y84" s="34"/>
    </row>
    <row r="85" spans="1:26" x14ac:dyDescent="0.3">
      <c r="A85" s="769" t="s">
        <v>88</v>
      </c>
      <c r="B85" s="769" t="s">
        <v>243</v>
      </c>
      <c r="C85" s="769"/>
      <c r="D85" s="35" t="s">
        <v>419</v>
      </c>
      <c r="E85" s="49"/>
      <c r="F85" s="49"/>
      <c r="G85" s="798">
        <f>0.045*I85/40</f>
        <v>9.0080071174377217E-7</v>
      </c>
      <c r="H85" s="773">
        <f t="shared" si="6"/>
        <v>0</v>
      </c>
      <c r="I85" s="896">
        <f>V83/U83</f>
        <v>8.00711743772242E-4</v>
      </c>
      <c r="J85" s="786"/>
      <c r="K85" s="49"/>
      <c r="L85" s="34"/>
      <c r="M85" s="34"/>
      <c r="N85" s="34"/>
      <c r="O85" s="34"/>
      <c r="P85" s="30"/>
      <c r="Q85" s="30"/>
      <c r="R85" s="30" t="s">
        <v>470</v>
      </c>
      <c r="S85" s="34"/>
      <c r="T85" s="34"/>
      <c r="U85" s="34"/>
      <c r="V85" s="34"/>
      <c r="W85" s="30"/>
      <c r="X85" s="660"/>
      <c r="Y85" s="34"/>
    </row>
    <row r="86" spans="1:26" x14ac:dyDescent="0.3">
      <c r="A86" s="769" t="s">
        <v>88</v>
      </c>
      <c r="B86" s="769" t="s">
        <v>243</v>
      </c>
      <c r="C86" s="769"/>
      <c r="D86" s="897" t="s">
        <v>131</v>
      </c>
      <c r="E86" s="49" t="str">
        <f>VLOOKUP(BOM!D86,'RECAP MATIERE'!$A$17:$G$75,5,FALSE)</f>
        <v>EU28: Expanded polyethylene foam</v>
      </c>
      <c r="F86" s="49" t="str">
        <f>VLOOKUP(BOM!D86,'RECAP MATIERE'!$A$17:$G$75,6,FALSE)</f>
        <v>N/A</v>
      </c>
      <c r="G86" s="897">
        <f>0.005*I86/40</f>
        <v>1.0008896797153025E-7</v>
      </c>
      <c r="H86" s="773">
        <f t="shared" si="6"/>
        <v>0</v>
      </c>
      <c r="I86" s="896">
        <f>V83/U83</f>
        <v>8.00711743772242E-4</v>
      </c>
      <c r="J86" s="786"/>
      <c r="K86" s="49" t="str">
        <f>VLOOKUP(BOM!D86,'RECAP MATIERE'!$A$17:$G$75,7,FALSE)</f>
        <v>N/A</v>
      </c>
      <c r="L86" s="34"/>
      <c r="M86" s="34"/>
      <c r="N86" s="34"/>
      <c r="O86" s="34"/>
      <c r="P86" s="30"/>
      <c r="Q86" s="30"/>
      <c r="R86" s="30" t="s">
        <v>470</v>
      </c>
      <c r="S86" s="34">
        <v>0</v>
      </c>
      <c r="T86" s="34" t="s">
        <v>467</v>
      </c>
      <c r="U86" s="34"/>
      <c r="V86" s="34"/>
      <c r="W86" s="30"/>
      <c r="X86" s="660"/>
      <c r="Y86" s="34"/>
    </row>
    <row r="87" spans="1:26" ht="57.6" x14ac:dyDescent="0.3">
      <c r="A87" s="769" t="s">
        <v>97</v>
      </c>
      <c r="B87" s="769" t="s">
        <v>98</v>
      </c>
      <c r="C87" s="769" t="s">
        <v>46</v>
      </c>
      <c r="D87" s="772" t="s">
        <v>47</v>
      </c>
      <c r="E87" s="49" t="str">
        <f>VLOOKUP(BOM!D87,'RECAP MATIERE'!$A$17:$G$75,5,FALSE)</f>
        <v>EU28: AlCu4MgSi extrusion profile
ou EU28: AlCU4MgTi ingot
ou EU28 AlCu4Mg1  sheet</v>
      </c>
      <c r="F87" s="49" t="str">
        <f>VLOOKUP(BOM!D87,'RECAP MATIERE'!$A$17:$G$75,6,FALSE)</f>
        <v>DE: Aluminium cast part machining
+ SURTEC 650</v>
      </c>
      <c r="G87" s="772">
        <v>12.332999999999998</v>
      </c>
      <c r="H87" s="773">
        <f t="shared" si="6"/>
        <v>7.3053596043136304</v>
      </c>
      <c r="I87" s="772"/>
      <c r="J87" s="772">
        <v>78.092999999999989</v>
      </c>
      <c r="K87" s="49" t="str">
        <f>VLOOKUP(BOM!D87,'RECAP MATIERE'!$A$17:$G$75,7,FALSE)</f>
        <v>EU28: Aluminium remelting: wrought alloy ingot from scrap</v>
      </c>
      <c r="L87" s="772">
        <v>90.096999999999994</v>
      </c>
      <c r="M87" s="772" t="s">
        <v>413</v>
      </c>
      <c r="N87" s="772">
        <v>1.0840000000000001</v>
      </c>
      <c r="O87" s="772" t="s">
        <v>51</v>
      </c>
      <c r="P87" s="30" t="s">
        <v>414</v>
      </c>
      <c r="Q87" s="30" t="s">
        <v>99</v>
      </c>
      <c r="R87" s="30" t="s">
        <v>471</v>
      </c>
      <c r="S87" s="34">
        <v>0</v>
      </c>
      <c r="T87" s="34" t="s">
        <v>472</v>
      </c>
      <c r="U87" s="34">
        <v>4</v>
      </c>
      <c r="V87" s="34">
        <v>70</v>
      </c>
      <c r="W87" s="30">
        <v>515</v>
      </c>
      <c r="X87" s="660" t="s">
        <v>30</v>
      </c>
      <c r="Y87" s="34"/>
    </row>
    <row r="88" spans="1:26" ht="28.8" x14ac:dyDescent="0.3">
      <c r="A88" s="769" t="s">
        <v>97</v>
      </c>
      <c r="B88" s="769" t="s">
        <v>98</v>
      </c>
      <c r="C88" s="769" t="s">
        <v>46</v>
      </c>
      <c r="D88" s="807" t="s">
        <v>60</v>
      </c>
      <c r="E88" s="49" t="e">
        <f>VLOOKUP(BOM!D88,'RECAP MATIERE'!$A$17:$G$75,5,FALSE)</f>
        <v>#N/A</v>
      </c>
      <c r="F88" s="49" t="e">
        <f>VLOOKUP(BOM!D88,'RECAP MATIERE'!$A$17:$G$75,6,FALSE)</f>
        <v>#N/A</v>
      </c>
      <c r="G88" s="808">
        <v>0.2145707</v>
      </c>
      <c r="H88" s="773">
        <f t="shared" si="6"/>
        <v>0</v>
      </c>
      <c r="I88" s="808"/>
      <c r="J88" s="786"/>
      <c r="K88" s="49" t="e">
        <f>VLOOKUP(BOM!D88,'RECAP MATIERE'!$A$17:$G$75,7,FALSE)</f>
        <v>#N/A</v>
      </c>
      <c r="L88" s="34"/>
      <c r="M88" s="34"/>
      <c r="N88" s="34"/>
      <c r="O88" s="786" t="s">
        <v>473</v>
      </c>
      <c r="P88" s="30" t="s">
        <v>414</v>
      </c>
      <c r="Q88" s="30" t="s">
        <v>99</v>
      </c>
      <c r="R88" s="30" t="s">
        <v>474</v>
      </c>
      <c r="S88" s="34">
        <v>0</v>
      </c>
      <c r="T88" s="34" t="s">
        <v>472</v>
      </c>
      <c r="U88" s="34">
        <v>4</v>
      </c>
      <c r="V88" s="34">
        <v>70</v>
      </c>
      <c r="W88" s="30">
        <v>515</v>
      </c>
      <c r="X88" s="660" t="s">
        <v>30</v>
      </c>
      <c r="Y88" s="34"/>
    </row>
    <row r="89" spans="1:26" ht="28.8" x14ac:dyDescent="0.3">
      <c r="A89" s="769" t="s">
        <v>97</v>
      </c>
      <c r="B89" s="769" t="s">
        <v>98</v>
      </c>
      <c r="C89" s="769" t="s">
        <v>46</v>
      </c>
      <c r="D89" s="371" t="s">
        <v>244</v>
      </c>
      <c r="E89" s="49" t="str">
        <f>VLOOKUP(BOM!D89,'RECAP MATIERE'!$A$17:$G$75,5,FALSE)</f>
        <v>EU28: Stainless steel cold rolled coil 304 (18,5% Cr, 9% Ni)</v>
      </c>
      <c r="F89" s="49" t="str">
        <f>VLOOKUP(BOM!D89,'RECAP MATIERE'!$A$17:$G$75,6,FALSE)</f>
        <v>DE: Aluminium cast part machining
+ TTH compris dans le steel tinplated</v>
      </c>
      <c r="G89" s="371">
        <v>2.3743000000000004E-2</v>
      </c>
      <c r="H89" s="773">
        <f t="shared" si="6"/>
        <v>0</v>
      </c>
      <c r="I89" s="371"/>
      <c r="J89" s="786"/>
      <c r="K89" s="49" t="str">
        <f>VLOOKUP(BOM!D89,'RECAP MATIERE'!$A$17:$G$75,7,FALSE)</f>
        <v>Crédit?</v>
      </c>
      <c r="L89" s="34"/>
      <c r="M89" s="34"/>
      <c r="N89" s="34"/>
      <c r="O89" s="786"/>
      <c r="P89" s="30" t="s">
        <v>414</v>
      </c>
      <c r="Q89" s="30" t="s">
        <v>99</v>
      </c>
      <c r="R89" s="30" t="s">
        <v>475</v>
      </c>
      <c r="S89" s="34">
        <v>0</v>
      </c>
      <c r="T89" s="34" t="s">
        <v>472</v>
      </c>
      <c r="U89" s="34">
        <v>4</v>
      </c>
      <c r="V89" s="34">
        <v>70</v>
      </c>
      <c r="W89" s="30">
        <v>515</v>
      </c>
      <c r="X89" s="660" t="s">
        <v>30</v>
      </c>
      <c r="Y89" s="34"/>
    </row>
    <row r="90" spans="1:26" ht="28.8" x14ac:dyDescent="0.3">
      <c r="A90" s="769" t="s">
        <v>97</v>
      </c>
      <c r="B90" s="769" t="s">
        <v>98</v>
      </c>
      <c r="C90" s="769" t="s">
        <v>46</v>
      </c>
      <c r="D90" s="372" t="s">
        <v>253</v>
      </c>
      <c r="E90" s="49" t="str">
        <f>VLOOKUP(BOM!D90,'RECAP MATIERE'!$A$17:$G$75,5,FALSE)</f>
        <v>EU: Steel tinplated</v>
      </c>
      <c r="F90" s="49" t="str">
        <f>VLOOKUP(BOM!D90,'RECAP MATIERE'!$A$17:$G$75,6,FALSE)</f>
        <v>DE: Aluminium cast part machining
+ TTH compris dans le steel tinplated</v>
      </c>
      <c r="G90" s="809">
        <v>0.58000000000000007</v>
      </c>
      <c r="H90" s="773">
        <f t="shared" si="6"/>
        <v>0</v>
      </c>
      <c r="I90" s="809"/>
      <c r="J90" s="786"/>
      <c r="K90" s="49" t="str">
        <f>VLOOKUP(BOM!D90,'RECAP MATIERE'!$A$17:$G$75,7,FALSE)</f>
        <v>Crédit?</v>
      </c>
      <c r="L90" s="34"/>
      <c r="M90" s="34"/>
      <c r="N90" s="34"/>
      <c r="O90" s="786"/>
      <c r="P90" s="30" t="s">
        <v>414</v>
      </c>
      <c r="Q90" s="30" t="s">
        <v>99</v>
      </c>
      <c r="R90" s="30" t="s">
        <v>476</v>
      </c>
      <c r="S90" s="34">
        <v>0</v>
      </c>
      <c r="T90" s="34" t="s">
        <v>472</v>
      </c>
      <c r="U90" s="34">
        <v>4</v>
      </c>
      <c r="V90" s="34">
        <v>70</v>
      </c>
      <c r="W90" s="30">
        <v>515</v>
      </c>
      <c r="X90" s="660" t="s">
        <v>30</v>
      </c>
      <c r="Y90" s="34"/>
    </row>
    <row r="91" spans="1:26" ht="28.8" x14ac:dyDescent="0.3">
      <c r="A91" s="769" t="s">
        <v>97</v>
      </c>
      <c r="B91" s="769" t="s">
        <v>98</v>
      </c>
      <c r="C91" s="769" t="s">
        <v>46</v>
      </c>
      <c r="D91" s="375" t="s">
        <v>265</v>
      </c>
      <c r="E91" s="49" t="str">
        <f>VLOOKUP(BOM!D91,'RECAP MATIERE'!$A$17:$G$75,5,FALSE)</f>
        <v>EU: Steel tinplated</v>
      </c>
      <c r="F91" s="49" t="str">
        <f>VLOOKUP(BOM!D91,'RECAP MATIERE'!$A$17:$G$75,6,FALSE)</f>
        <v>DE: Aluminium cast part machining
+ TTH compris dans le steel tinplated</v>
      </c>
      <c r="G91" s="810">
        <v>5.7000000000000002E-2</v>
      </c>
      <c r="H91" s="773">
        <f t="shared" si="6"/>
        <v>0</v>
      </c>
      <c r="I91" s="810"/>
      <c r="J91" s="786"/>
      <c r="K91" s="49" t="str">
        <f>VLOOKUP(BOM!D91,'RECAP MATIERE'!$A$17:$G$75,7,FALSE)</f>
        <v>Crédit?</v>
      </c>
      <c r="L91" s="34"/>
      <c r="M91" s="34"/>
      <c r="N91" s="34"/>
      <c r="O91" s="786"/>
      <c r="P91" s="30" t="s">
        <v>414</v>
      </c>
      <c r="Q91" s="30" t="s">
        <v>99</v>
      </c>
      <c r="R91" s="30" t="s">
        <v>477</v>
      </c>
      <c r="S91" s="34">
        <v>0</v>
      </c>
      <c r="T91" s="34" t="s">
        <v>472</v>
      </c>
      <c r="U91" s="34">
        <v>4</v>
      </c>
      <c r="V91" s="34">
        <v>70</v>
      </c>
      <c r="W91" s="30">
        <v>515</v>
      </c>
      <c r="X91" s="660" t="s">
        <v>30</v>
      </c>
      <c r="Y91" s="34"/>
    </row>
    <row r="92" spans="1:26" ht="43.2" x14ac:dyDescent="0.3">
      <c r="A92" s="769" t="s">
        <v>97</v>
      </c>
      <c r="B92" s="769" t="s">
        <v>98</v>
      </c>
      <c r="C92" s="769" t="s">
        <v>46</v>
      </c>
      <c r="D92" s="811" t="s">
        <v>271</v>
      </c>
      <c r="E92" s="49" t="str">
        <f>VLOOKUP(BOM!D92,'RECAP MATIERE'!$A$17:$G$75,5,FALSE)</f>
        <v>EU28: solvent based polychloroprene adhesive of good heat resistance</v>
      </c>
      <c r="F92" s="49" t="str">
        <f>VLOOKUP(BOM!D92,'RECAP MATIERE'!$A$17:$G$75,6,FALSE)</f>
        <v>GLO: plastic injection moulding</v>
      </c>
      <c r="G92" s="812">
        <v>4.9931999999999997E-3</v>
      </c>
      <c r="H92" s="773">
        <f t="shared" si="6"/>
        <v>0</v>
      </c>
      <c r="I92" s="812"/>
      <c r="J92" s="786"/>
      <c r="K92" s="49" t="str">
        <f>VLOOKUP(BOM!D92,'RECAP MATIERE'!$A$17:$G$75,7,FALSE)</f>
        <v>[Nation] Plastics in waste incineration plants</v>
      </c>
      <c r="L92" s="34"/>
      <c r="M92" s="34"/>
      <c r="N92" s="34"/>
      <c r="O92" s="786"/>
      <c r="P92" s="30" t="s">
        <v>414</v>
      </c>
      <c r="Q92" s="30" t="s">
        <v>99</v>
      </c>
      <c r="R92" s="30" t="s">
        <v>478</v>
      </c>
      <c r="S92" s="34">
        <v>0</v>
      </c>
      <c r="T92" s="34" t="s">
        <v>472</v>
      </c>
      <c r="U92" s="34">
        <v>4</v>
      </c>
      <c r="V92" s="34">
        <v>70</v>
      </c>
      <c r="W92" s="30">
        <v>515</v>
      </c>
      <c r="X92" s="660" t="s">
        <v>30</v>
      </c>
      <c r="Y92" s="34"/>
    </row>
    <row r="93" spans="1:26" ht="43.2" x14ac:dyDescent="0.3">
      <c r="A93" s="769" t="s">
        <v>97</v>
      </c>
      <c r="B93" s="769" t="s">
        <v>98</v>
      </c>
      <c r="C93" s="769" t="s">
        <v>46</v>
      </c>
      <c r="D93" s="784" t="s">
        <v>240</v>
      </c>
      <c r="E93" s="49">
        <f>VLOOKUP(BOM!D93,'RECAP MATIERE'!$A$17:$G$75,5,FALSE)</f>
        <v>0</v>
      </c>
      <c r="F93" s="49" t="str">
        <f>VLOOKUP(BOM!D93,'RECAP MATIERE'!$A$17:$G$75,6,FALSE)</f>
        <v>GLO: plastic injection moulding</v>
      </c>
      <c r="G93" s="784">
        <v>4.0000000000000001E-3</v>
      </c>
      <c r="H93" s="773">
        <f t="shared" si="6"/>
        <v>0</v>
      </c>
      <c r="I93" s="784"/>
      <c r="J93" s="786"/>
      <c r="K93" s="49" t="str">
        <f>VLOOKUP(BOM!D93,'RECAP MATIERE'!$A$17:$G$75,7,FALSE)</f>
        <v>[Nation] Plastics in waste incineration plants</v>
      </c>
      <c r="L93" s="34"/>
      <c r="M93" s="34"/>
      <c r="N93" s="34"/>
      <c r="O93" s="786"/>
      <c r="P93" s="30" t="s">
        <v>414</v>
      </c>
      <c r="Q93" s="30" t="s">
        <v>99</v>
      </c>
      <c r="R93" s="30" t="s">
        <v>479</v>
      </c>
      <c r="S93" s="34">
        <v>0</v>
      </c>
      <c r="T93" s="34" t="s">
        <v>472</v>
      </c>
      <c r="U93" s="34">
        <v>4</v>
      </c>
      <c r="V93" s="34">
        <v>70</v>
      </c>
      <c r="W93" s="30">
        <v>515</v>
      </c>
      <c r="X93" s="660" t="s">
        <v>30</v>
      </c>
      <c r="Y93" s="34"/>
    </row>
    <row r="94" spans="1:26" ht="28.8" x14ac:dyDescent="0.3">
      <c r="A94" s="769" t="s">
        <v>97</v>
      </c>
      <c r="B94" s="769" t="s">
        <v>243</v>
      </c>
      <c r="C94" s="769"/>
      <c r="D94" s="35" t="s">
        <v>452</v>
      </c>
      <c r="E94" s="49" t="str">
        <f>VLOOKUP(BOM!D94,'RECAP MATIERE'!$A$17:$G$75,5,FALSE)</f>
        <v>EU28: Plywood board</v>
      </c>
      <c r="F94" s="49" t="str">
        <f>VLOOKUP(BOM!D94,'RECAP MATIERE'!$A$17:$G$75,6,FALSE)</f>
        <v>N/A</v>
      </c>
      <c r="G94" s="798">
        <f>0.95*I94/40</f>
        <v>0.41562500000000002</v>
      </c>
      <c r="H94" s="773">
        <f t="shared" si="6"/>
        <v>0</v>
      </c>
      <c r="I94" s="896">
        <f t="shared" ref="I94" si="10">V93/U93</f>
        <v>17.5</v>
      </c>
      <c r="J94" s="786"/>
      <c r="K94" s="49" t="str">
        <f>VLOOKUP(BOM!D94,'RECAP MATIERE'!$A$17:$G$75,7,FALSE)</f>
        <v>N/A</v>
      </c>
      <c r="L94" s="34"/>
      <c r="M94" s="34"/>
      <c r="N94" s="34"/>
      <c r="O94" s="151"/>
      <c r="P94" s="30"/>
      <c r="Q94" s="30"/>
      <c r="R94" s="30" t="s">
        <v>479</v>
      </c>
      <c r="S94" s="34">
        <v>0</v>
      </c>
      <c r="T94" s="34" t="s">
        <v>472</v>
      </c>
      <c r="U94" s="34"/>
      <c r="V94" s="34"/>
      <c r="W94" s="30"/>
      <c r="X94" s="660"/>
      <c r="Y94" s="34"/>
    </row>
    <row r="95" spans="1:26" ht="28.8" x14ac:dyDescent="0.3">
      <c r="A95" s="769" t="s">
        <v>97</v>
      </c>
      <c r="B95" s="769" t="s">
        <v>243</v>
      </c>
      <c r="C95" s="769"/>
      <c r="D95" s="35" t="s">
        <v>419</v>
      </c>
      <c r="E95" s="49"/>
      <c r="F95" s="49"/>
      <c r="G95" s="798">
        <f>0.045*I95/40</f>
        <v>1.96875E-2</v>
      </c>
      <c r="H95" s="773">
        <f t="shared" si="6"/>
        <v>0</v>
      </c>
      <c r="I95" s="896">
        <f>V93/U93</f>
        <v>17.5</v>
      </c>
      <c r="J95" s="786"/>
      <c r="K95" s="49"/>
      <c r="L95" s="34"/>
      <c r="M95" s="34"/>
      <c r="N95" s="34"/>
      <c r="O95" s="151"/>
      <c r="P95" s="30"/>
      <c r="Q95" s="30"/>
      <c r="R95" s="30" t="s">
        <v>479</v>
      </c>
      <c r="S95" s="34"/>
      <c r="T95" s="34"/>
      <c r="U95" s="34"/>
      <c r="V95" s="34"/>
      <c r="W95" s="30"/>
      <c r="X95" s="660"/>
      <c r="Y95" s="34"/>
    </row>
    <row r="96" spans="1:26" ht="28.8" x14ac:dyDescent="0.3">
      <c r="A96" s="769" t="s">
        <v>97</v>
      </c>
      <c r="B96" s="769" t="s">
        <v>243</v>
      </c>
      <c r="C96" s="769"/>
      <c r="D96" s="897" t="s">
        <v>131</v>
      </c>
      <c r="E96" s="49" t="str">
        <f>VLOOKUP(BOM!D96,'RECAP MATIERE'!$A$17:$G$75,5,FALSE)</f>
        <v>EU28: Expanded polyethylene foam</v>
      </c>
      <c r="F96" s="49" t="str">
        <f>VLOOKUP(BOM!D96,'RECAP MATIERE'!$A$17:$G$75,6,FALSE)</f>
        <v>N/A</v>
      </c>
      <c r="G96" s="897">
        <f>0.005*I96/40</f>
        <v>2.1875000000000002E-3</v>
      </c>
      <c r="H96" s="773">
        <f t="shared" si="6"/>
        <v>0</v>
      </c>
      <c r="I96" s="896">
        <f>V93/U93</f>
        <v>17.5</v>
      </c>
      <c r="J96" s="786"/>
      <c r="K96" s="49" t="str">
        <f>VLOOKUP(BOM!D96,'RECAP MATIERE'!$A$17:$G$75,7,FALSE)</f>
        <v>N/A</v>
      </c>
      <c r="L96" s="34"/>
      <c r="M96" s="34"/>
      <c r="N96" s="34"/>
      <c r="O96" s="151"/>
      <c r="P96" s="30"/>
      <c r="Q96" s="30"/>
      <c r="R96" s="30" t="s">
        <v>479</v>
      </c>
      <c r="S96" s="34">
        <v>0</v>
      </c>
      <c r="T96" s="34" t="s">
        <v>472</v>
      </c>
      <c r="U96" s="34"/>
      <c r="V96" s="34"/>
      <c r="W96" s="30"/>
      <c r="X96" s="660"/>
      <c r="Y96" s="34"/>
    </row>
    <row r="97" spans="1:25" ht="57.6" x14ac:dyDescent="0.3">
      <c r="A97" s="769" t="s">
        <v>95</v>
      </c>
      <c r="B97" s="769" t="s">
        <v>96</v>
      </c>
      <c r="C97" s="769" t="s">
        <v>90</v>
      </c>
      <c r="D97" s="775" t="s">
        <v>91</v>
      </c>
      <c r="E97" s="49" t="str">
        <f>VLOOKUP(BOM!D97,'RECAP MATIERE'!$A$17:$G$75,5,FALSE)</f>
        <v>EU28: AlMg4.5 sheet</v>
      </c>
      <c r="F97" s="49" t="str">
        <f>VLOOKUP(BOM!D97,'RECAP MATIERE'!$A$17:$G$75,6,FALSE)</f>
        <v>DE: Aluminium cast part machining
GLO: Steel sheet stamping and bending</v>
      </c>
      <c r="G97" s="776">
        <v>3.6360047999999989</v>
      </c>
      <c r="H97" s="773">
        <f t="shared" si="6"/>
        <v>0</v>
      </c>
      <c r="I97" s="776"/>
      <c r="J97" s="786"/>
      <c r="K97" s="49" t="str">
        <f>VLOOKUP(BOM!D97,'RECAP MATIERE'!$A$17:$G$75,7,FALSE)</f>
        <v>EU28: Aluminium remelting: wrought alloy ingot from scrap</v>
      </c>
      <c r="L97" s="34"/>
      <c r="M97" s="34"/>
      <c r="N97" s="34"/>
      <c r="O97" s="890" t="s">
        <v>77</v>
      </c>
      <c r="P97" s="30" t="s">
        <v>465</v>
      </c>
      <c r="Q97" s="30" t="s">
        <v>93</v>
      </c>
      <c r="R97" s="30" t="s">
        <v>466</v>
      </c>
      <c r="S97" s="34">
        <v>0</v>
      </c>
      <c r="T97" s="34" t="s">
        <v>480</v>
      </c>
      <c r="U97" s="34" t="s">
        <v>468</v>
      </c>
      <c r="V97" s="34">
        <v>36</v>
      </c>
      <c r="W97" s="30">
        <v>240</v>
      </c>
      <c r="X97" s="660" t="s">
        <v>30</v>
      </c>
      <c r="Y97" s="34"/>
    </row>
    <row r="98" spans="1:25" ht="28.8" x14ac:dyDescent="0.3">
      <c r="A98" s="769" t="s">
        <v>95</v>
      </c>
      <c r="B98" s="769" t="s">
        <v>96</v>
      </c>
      <c r="C98" s="769" t="s">
        <v>90</v>
      </c>
      <c r="D98" s="372" t="s">
        <v>253</v>
      </c>
      <c r="E98" s="49" t="str">
        <f>VLOOKUP(BOM!D98,'RECAP MATIERE'!$A$17:$G$75,5,FALSE)</f>
        <v>EU: Steel tinplated</v>
      </c>
      <c r="F98" s="49" t="str">
        <f>VLOOKUP(BOM!D98,'RECAP MATIERE'!$A$17:$G$75,6,FALSE)</f>
        <v>DE: Aluminium cast part machining
+ TTH compris dans le steel tinplated</v>
      </c>
      <c r="G98" s="372">
        <v>9.9644900000000022E-2</v>
      </c>
      <c r="H98" s="773">
        <f t="shared" si="6"/>
        <v>0</v>
      </c>
      <c r="I98" s="372"/>
      <c r="J98" s="786"/>
      <c r="K98" s="49" t="str">
        <f>VLOOKUP(BOM!D98,'RECAP MATIERE'!$A$17:$G$75,7,FALSE)</f>
        <v>Crédit?</v>
      </c>
      <c r="L98" s="34"/>
      <c r="M98" s="34"/>
      <c r="N98" s="34"/>
      <c r="O98" s="34"/>
      <c r="P98" s="30" t="s">
        <v>465</v>
      </c>
      <c r="Q98" s="30" t="s">
        <v>93</v>
      </c>
      <c r="R98" s="30" t="s">
        <v>469</v>
      </c>
      <c r="S98" s="34">
        <v>0</v>
      </c>
      <c r="T98" s="34" t="s">
        <v>480</v>
      </c>
      <c r="U98" s="34" t="s">
        <v>468</v>
      </c>
      <c r="V98" s="34">
        <v>36</v>
      </c>
      <c r="W98" s="30">
        <v>240</v>
      </c>
      <c r="X98" s="660" t="s">
        <v>30</v>
      </c>
      <c r="Y98" s="34"/>
    </row>
    <row r="99" spans="1:25" ht="43.2" x14ac:dyDescent="0.3">
      <c r="A99" s="769" t="s">
        <v>95</v>
      </c>
      <c r="B99" s="769" t="s">
        <v>96</v>
      </c>
      <c r="C99" s="769" t="s">
        <v>90</v>
      </c>
      <c r="D99" s="793" t="s">
        <v>262</v>
      </c>
      <c r="E99" s="49" t="str">
        <f>VLOOKUP(BOM!D99,'RECAP MATIERE'!$A$17:$G$75,5,FALSE)</f>
        <v>EU28: Polyamide 6</v>
      </c>
      <c r="F99" s="49" t="str">
        <f>VLOOKUP(BOM!D99,'RECAP MATIERE'!$A$17:$G$75,6,FALSE)</f>
        <v>GLO: plastic injection moulding</v>
      </c>
      <c r="G99" s="813">
        <v>1.7310000000000001E-4</v>
      </c>
      <c r="H99" s="773">
        <f t="shared" si="6"/>
        <v>0</v>
      </c>
      <c r="I99" s="813"/>
      <c r="J99" s="786"/>
      <c r="K99" s="49" t="str">
        <f>VLOOKUP(BOM!D99,'RECAP MATIERE'!$A$17:$G$75,7,FALSE)</f>
        <v>[Nation] Plastics in waste incineration plants</v>
      </c>
      <c r="L99" s="34"/>
      <c r="M99" s="34"/>
      <c r="N99" s="34"/>
      <c r="O99" s="34"/>
      <c r="P99" s="30" t="s">
        <v>465</v>
      </c>
      <c r="Q99" s="30" t="s">
        <v>93</v>
      </c>
      <c r="R99" s="30" t="s">
        <v>470</v>
      </c>
      <c r="S99" s="34">
        <v>0</v>
      </c>
      <c r="T99" s="34" t="s">
        <v>480</v>
      </c>
      <c r="U99" s="34" t="s">
        <v>468</v>
      </c>
      <c r="V99" s="34">
        <v>36</v>
      </c>
      <c r="W99" s="30">
        <v>240</v>
      </c>
      <c r="X99" s="660" t="s">
        <v>30</v>
      </c>
      <c r="Y99" s="34"/>
    </row>
    <row r="100" spans="1:25" ht="43.2" x14ac:dyDescent="0.3">
      <c r="A100" s="769" t="s">
        <v>95</v>
      </c>
      <c r="B100" s="769" t="s">
        <v>96</v>
      </c>
      <c r="C100" s="769" t="s">
        <v>90</v>
      </c>
      <c r="D100" s="784" t="s">
        <v>240</v>
      </c>
      <c r="E100" s="49">
        <f>VLOOKUP(BOM!D100,'RECAP MATIERE'!$A$17:$G$75,5,FALSE)</f>
        <v>0</v>
      </c>
      <c r="F100" s="49" t="str">
        <f>VLOOKUP(BOM!D100,'RECAP MATIERE'!$A$17:$G$75,6,FALSE)</f>
        <v>GLO: plastic injection moulding</v>
      </c>
      <c r="G100" s="784">
        <v>2.5779000000000002E-3</v>
      </c>
      <c r="H100" s="773">
        <f t="shared" si="6"/>
        <v>0</v>
      </c>
      <c r="I100" s="784"/>
      <c r="J100" s="786"/>
      <c r="K100" s="49" t="str">
        <f>VLOOKUP(BOM!D100,'RECAP MATIERE'!$A$17:$G$75,7,FALSE)</f>
        <v>[Nation] Plastics in waste incineration plants</v>
      </c>
      <c r="L100" s="34"/>
      <c r="M100" s="34"/>
      <c r="N100" s="34"/>
      <c r="O100" s="34"/>
      <c r="P100" s="30" t="s">
        <v>465</v>
      </c>
      <c r="Q100" s="30" t="s">
        <v>93</v>
      </c>
      <c r="R100" s="30" t="s">
        <v>481</v>
      </c>
      <c r="S100" s="34">
        <v>0</v>
      </c>
      <c r="T100" s="34" t="s">
        <v>480</v>
      </c>
      <c r="U100" s="34" t="s">
        <v>468</v>
      </c>
      <c r="V100" s="34">
        <v>36</v>
      </c>
      <c r="W100" s="30">
        <v>240</v>
      </c>
      <c r="X100" s="660" t="s">
        <v>30</v>
      </c>
      <c r="Y100" s="34"/>
    </row>
    <row r="101" spans="1:25" ht="43.2" x14ac:dyDescent="0.3">
      <c r="A101" s="769" t="s">
        <v>95</v>
      </c>
      <c r="B101" s="769" t="s">
        <v>96</v>
      </c>
      <c r="C101" s="769" t="s">
        <v>90</v>
      </c>
      <c r="D101" s="806" t="s">
        <v>255</v>
      </c>
      <c r="E101" s="49" t="str">
        <f>VLOOKUP(BOM!D101,'RECAP MATIERE'!$A$17:$G$75,5,FALSE)</f>
        <v>EU28: Polyurethane flexible foam, with flame retardant
EU28: PA6.6 fibres</v>
      </c>
      <c r="F101" s="49" t="str">
        <f>VLOOKUP(BOM!D101,'RECAP MATIERE'!$A$17:$G$75,6,FALSE)</f>
        <v>N/A</v>
      </c>
      <c r="G101" s="806">
        <v>8.0000000000000002E-3</v>
      </c>
      <c r="H101" s="773">
        <f t="shared" si="6"/>
        <v>0</v>
      </c>
      <c r="I101" s="806"/>
      <c r="J101" s="786"/>
      <c r="K101" s="49" t="str">
        <f>VLOOKUP(BOM!D101,'RECAP MATIERE'!$A$17:$G$75,7,FALSE)</f>
        <v>[Nation] Plastics in waste incineration plants</v>
      </c>
      <c r="L101" s="34"/>
      <c r="M101" s="34"/>
      <c r="N101" s="34"/>
      <c r="O101" s="34"/>
      <c r="P101" s="30" t="s">
        <v>465</v>
      </c>
      <c r="Q101" s="30" t="s">
        <v>93</v>
      </c>
      <c r="R101" s="30" t="s">
        <v>482</v>
      </c>
      <c r="S101" s="34">
        <v>0</v>
      </c>
      <c r="T101" s="34" t="s">
        <v>480</v>
      </c>
      <c r="U101" s="34" t="s">
        <v>468</v>
      </c>
      <c r="V101" s="34">
        <v>36</v>
      </c>
      <c r="W101" s="30">
        <v>240</v>
      </c>
      <c r="X101" s="660" t="s">
        <v>30</v>
      </c>
      <c r="Y101" s="34"/>
    </row>
    <row r="102" spans="1:25" ht="28.8" x14ac:dyDescent="0.3">
      <c r="A102" s="769" t="s">
        <v>95</v>
      </c>
      <c r="B102" s="769" t="s">
        <v>243</v>
      </c>
      <c r="C102" s="769"/>
      <c r="D102" s="35" t="s">
        <v>452</v>
      </c>
      <c r="E102" s="49" t="str">
        <f>VLOOKUP(BOM!D102,'RECAP MATIERE'!$A$17:$G$75,5,FALSE)</f>
        <v>EU28: Plywood board</v>
      </c>
      <c r="F102" s="49" t="str">
        <f>VLOOKUP(BOM!D102,'RECAP MATIERE'!$A$17:$G$75,6,FALSE)</f>
        <v>N/A</v>
      </c>
      <c r="G102" s="798">
        <f>0.95*I102/40</f>
        <v>1.9016903914590749E-5</v>
      </c>
      <c r="H102" s="773">
        <f t="shared" si="6"/>
        <v>0</v>
      </c>
      <c r="I102" s="896">
        <f t="shared" ref="I102" si="11">V101/U101</f>
        <v>8.00711743772242E-4</v>
      </c>
      <c r="J102" s="786"/>
      <c r="K102" s="49" t="str">
        <f>VLOOKUP(BOM!D102,'RECAP MATIERE'!$A$17:$G$75,7,FALSE)</f>
        <v>N/A</v>
      </c>
      <c r="L102" s="34"/>
      <c r="M102" s="34"/>
      <c r="N102" s="34"/>
      <c r="O102" s="34"/>
      <c r="P102" s="30"/>
      <c r="Q102" s="30"/>
      <c r="R102" s="30" t="s">
        <v>482</v>
      </c>
      <c r="S102" s="34">
        <v>0</v>
      </c>
      <c r="T102" s="34" t="s">
        <v>480</v>
      </c>
      <c r="U102" s="34"/>
      <c r="V102" s="34"/>
      <c r="W102" s="30"/>
      <c r="X102" s="660"/>
      <c r="Y102" s="34"/>
    </row>
    <row r="103" spans="1:25" ht="28.8" x14ac:dyDescent="0.3">
      <c r="A103" s="769" t="s">
        <v>95</v>
      </c>
      <c r="B103" s="769" t="s">
        <v>243</v>
      </c>
      <c r="C103" s="769"/>
      <c r="D103" s="35" t="s">
        <v>419</v>
      </c>
      <c r="E103" s="49"/>
      <c r="F103" s="49"/>
      <c r="G103" s="798">
        <f>0.045*I103/40</f>
        <v>9.0080071174377217E-7</v>
      </c>
      <c r="H103" s="773">
        <f t="shared" si="6"/>
        <v>0</v>
      </c>
      <c r="I103" s="896">
        <f>V101/U101</f>
        <v>8.00711743772242E-4</v>
      </c>
      <c r="J103" s="786"/>
      <c r="K103" s="49"/>
      <c r="L103" s="34"/>
      <c r="M103" s="34"/>
      <c r="N103" s="34"/>
      <c r="O103" s="34"/>
      <c r="P103" s="30"/>
      <c r="Q103" s="30"/>
      <c r="R103" s="30" t="s">
        <v>482</v>
      </c>
      <c r="S103" s="34"/>
      <c r="T103" s="34"/>
      <c r="U103" s="34"/>
      <c r="V103" s="34"/>
      <c r="W103" s="30"/>
      <c r="X103" s="660"/>
      <c r="Y103" s="34"/>
    </row>
    <row r="104" spans="1:25" ht="28.8" x14ac:dyDescent="0.3">
      <c r="A104" s="769" t="s">
        <v>95</v>
      </c>
      <c r="B104" s="769" t="s">
        <v>243</v>
      </c>
      <c r="C104" s="769"/>
      <c r="D104" s="897" t="s">
        <v>131</v>
      </c>
      <c r="E104" s="49" t="str">
        <f>VLOOKUP(BOM!D104,'RECAP MATIERE'!$A$17:$G$75,5,FALSE)</f>
        <v>EU28: Expanded polyethylene foam</v>
      </c>
      <c r="F104" s="49" t="str">
        <f>VLOOKUP(BOM!D104,'RECAP MATIERE'!$A$17:$G$75,6,FALSE)</f>
        <v>N/A</v>
      </c>
      <c r="G104" s="897">
        <f>0.005*I104/40</f>
        <v>1.0008896797153025E-7</v>
      </c>
      <c r="H104" s="773">
        <f t="shared" si="6"/>
        <v>0</v>
      </c>
      <c r="I104" s="896">
        <f>V101/U101</f>
        <v>8.00711743772242E-4</v>
      </c>
      <c r="J104" s="786"/>
      <c r="K104" s="49" t="str">
        <f>VLOOKUP(BOM!D104,'RECAP MATIERE'!$A$17:$G$75,7,FALSE)</f>
        <v>N/A</v>
      </c>
      <c r="L104" s="34"/>
      <c r="M104" s="34"/>
      <c r="N104" s="34"/>
      <c r="O104" s="34"/>
      <c r="P104" s="30"/>
      <c r="Q104" s="30"/>
      <c r="R104" s="30" t="s">
        <v>482</v>
      </c>
      <c r="S104" s="34">
        <v>0</v>
      </c>
      <c r="T104" s="34" t="s">
        <v>480</v>
      </c>
      <c r="U104" s="34"/>
      <c r="V104" s="34"/>
      <c r="W104" s="30"/>
      <c r="X104" s="660"/>
      <c r="Y104" s="34"/>
    </row>
    <row r="105" spans="1:25" ht="57.6" x14ac:dyDescent="0.3">
      <c r="A105" s="769" t="s">
        <v>102</v>
      </c>
      <c r="B105" s="769" t="s">
        <v>103</v>
      </c>
      <c r="C105" s="769" t="s">
        <v>90</v>
      </c>
      <c r="D105" s="772" t="s">
        <v>47</v>
      </c>
      <c r="E105" s="49" t="str">
        <f>VLOOKUP(BOM!D105,'RECAP MATIERE'!$A$17:$G$75,5,FALSE)</f>
        <v>EU28: AlCu4MgSi extrusion profile
ou EU28: AlCU4MgTi ingot
ou EU28 AlCu4Mg1  sheet</v>
      </c>
      <c r="F105" s="49" t="str">
        <f>VLOOKUP(BOM!D105,'RECAP MATIERE'!$A$17:$G$75,6,FALSE)</f>
        <v>DE: Aluminium cast part machining
+ SURTEC 650</v>
      </c>
      <c r="G105" s="772">
        <v>2.4299999999999997</v>
      </c>
      <c r="H105" s="773">
        <f t="shared" si="6"/>
        <v>5.2551440329218115</v>
      </c>
      <c r="I105" s="772"/>
      <c r="J105" s="772">
        <v>10.583999999999998</v>
      </c>
      <c r="K105" s="49" t="str">
        <f>VLOOKUP(BOM!D105,'RECAP MATIERE'!$A$17:$G$75,7,FALSE)</f>
        <v>EU28: Aluminium remelting: wrought alloy ingot from scrap</v>
      </c>
      <c r="L105" s="772">
        <v>12.77</v>
      </c>
      <c r="M105" s="772" t="s">
        <v>413</v>
      </c>
      <c r="N105" s="772">
        <v>0.19700000000000001</v>
      </c>
      <c r="O105" s="772" t="s">
        <v>51</v>
      </c>
      <c r="P105" s="30" t="s">
        <v>483</v>
      </c>
      <c r="Q105" s="30" t="s">
        <v>99</v>
      </c>
      <c r="R105" s="30" t="s">
        <v>471</v>
      </c>
      <c r="S105" s="34">
        <v>0</v>
      </c>
      <c r="T105" s="34" t="s">
        <v>484</v>
      </c>
      <c r="U105" s="34">
        <v>4</v>
      </c>
      <c r="V105" s="34">
        <v>15</v>
      </c>
      <c r="W105" s="30">
        <v>515</v>
      </c>
      <c r="X105" s="660" t="s">
        <v>30</v>
      </c>
      <c r="Y105" s="34"/>
    </row>
    <row r="106" spans="1:25" ht="57.6" x14ac:dyDescent="0.3">
      <c r="A106" s="769" t="s">
        <v>102</v>
      </c>
      <c r="B106" s="769" t="s">
        <v>103</v>
      </c>
      <c r="C106" s="769" t="s">
        <v>90</v>
      </c>
      <c r="D106" s="774" t="s">
        <v>252</v>
      </c>
      <c r="E106" s="49" t="str">
        <f>VLOOKUP(BOM!D106,'RECAP MATIERE'!$A$17:$G$75,5,FALSE)</f>
        <v>EU28 AlCu4Mg1  sheet</v>
      </c>
      <c r="F106" s="49" t="str">
        <f>VLOOKUP(BOM!D106,'RECAP MATIERE'!$A$17:$G$75,6,FALSE)</f>
        <v>DE: Aluminium cast part machining
+ SURTEC 650</v>
      </c>
      <c r="G106" s="794">
        <v>0.18</v>
      </c>
      <c r="H106" s="773">
        <f t="shared" si="6"/>
        <v>0</v>
      </c>
      <c r="I106" s="794"/>
      <c r="J106" s="786"/>
      <c r="K106" s="49" t="str">
        <f>VLOOKUP(BOM!D106,'RECAP MATIERE'!$A$17:$G$75,7,FALSE)</f>
        <v>EU28: Aluminium remelting: wrought alloy ingot from scrap</v>
      </c>
      <c r="L106" s="34"/>
      <c r="M106" s="34"/>
      <c r="N106" s="34"/>
      <c r="O106" s="890" t="s">
        <v>77</v>
      </c>
      <c r="P106" s="30" t="s">
        <v>483</v>
      </c>
      <c r="Q106" s="30" t="s">
        <v>99</v>
      </c>
      <c r="R106" s="30" t="s">
        <v>474</v>
      </c>
      <c r="S106" s="34">
        <v>0</v>
      </c>
      <c r="T106" s="34" t="s">
        <v>484</v>
      </c>
      <c r="U106" s="34">
        <v>4</v>
      </c>
      <c r="V106" s="34">
        <v>15</v>
      </c>
      <c r="W106" s="30">
        <v>515</v>
      </c>
      <c r="X106" s="660" t="s">
        <v>30</v>
      </c>
      <c r="Y106" s="34"/>
    </row>
    <row r="107" spans="1:25" ht="57.6" x14ac:dyDescent="0.3">
      <c r="A107" s="769" t="s">
        <v>102</v>
      </c>
      <c r="B107" s="769" t="s">
        <v>103</v>
      </c>
      <c r="C107" s="769" t="s">
        <v>90</v>
      </c>
      <c r="D107" s="775" t="s">
        <v>91</v>
      </c>
      <c r="E107" s="49" t="str">
        <f>VLOOKUP(BOM!D107,'RECAP MATIERE'!$A$17:$G$75,5,FALSE)</f>
        <v>EU28: AlMg4.5 sheet</v>
      </c>
      <c r="F107" s="49" t="str">
        <f>VLOOKUP(BOM!D107,'RECAP MATIERE'!$A$17:$G$75,6,FALSE)</f>
        <v>DE: Aluminium cast part machining
GLO: Steel sheet stamping and bending</v>
      </c>
      <c r="G107" s="814">
        <v>0.316</v>
      </c>
      <c r="H107" s="773">
        <f t="shared" si="6"/>
        <v>0</v>
      </c>
      <c r="I107" s="814"/>
      <c r="J107" s="786"/>
      <c r="K107" s="49" t="str">
        <f>VLOOKUP(BOM!D107,'RECAP MATIERE'!$A$17:$G$75,7,FALSE)</f>
        <v>EU28: Aluminium remelting: wrought alloy ingot from scrap</v>
      </c>
      <c r="L107" s="34"/>
      <c r="M107" s="34"/>
      <c r="N107" s="34"/>
      <c r="O107" s="34"/>
      <c r="P107" s="30" t="s">
        <v>483</v>
      </c>
      <c r="Q107" s="30" t="s">
        <v>99</v>
      </c>
      <c r="R107" s="30" t="s">
        <v>475</v>
      </c>
      <c r="S107" s="34">
        <v>0</v>
      </c>
      <c r="T107" s="34" t="s">
        <v>484</v>
      </c>
      <c r="U107" s="34">
        <v>4</v>
      </c>
      <c r="V107" s="34">
        <v>15</v>
      </c>
      <c r="W107" s="30">
        <v>515</v>
      </c>
      <c r="X107" s="660" t="s">
        <v>30</v>
      </c>
      <c r="Y107" s="34"/>
    </row>
    <row r="108" spans="1:25" ht="28.8" x14ac:dyDescent="0.3">
      <c r="A108" s="769" t="s">
        <v>102</v>
      </c>
      <c r="B108" s="769" t="s">
        <v>103</v>
      </c>
      <c r="C108" s="769" t="s">
        <v>90</v>
      </c>
      <c r="D108" s="807" t="s">
        <v>60</v>
      </c>
      <c r="E108" s="49" t="e">
        <f>VLOOKUP(BOM!D108,'RECAP MATIERE'!$A$17:$G$75,5,FALSE)</f>
        <v>#N/A</v>
      </c>
      <c r="F108" s="49" t="e">
        <f>VLOOKUP(BOM!D108,'RECAP MATIERE'!$A$17:$G$75,6,FALSE)</f>
        <v>#N/A</v>
      </c>
      <c r="G108" s="815">
        <v>0.1175071</v>
      </c>
      <c r="H108" s="773">
        <f t="shared" si="6"/>
        <v>0</v>
      </c>
      <c r="I108" s="815"/>
      <c r="J108" s="786"/>
      <c r="K108" s="49" t="e">
        <f>VLOOKUP(BOM!D108,'RECAP MATIERE'!$A$17:$G$75,7,FALSE)</f>
        <v>#N/A</v>
      </c>
      <c r="L108" s="34"/>
      <c r="M108" s="34"/>
      <c r="N108" s="34"/>
      <c r="O108" s="34"/>
      <c r="P108" s="30" t="s">
        <v>483</v>
      </c>
      <c r="Q108" s="30" t="s">
        <v>99</v>
      </c>
      <c r="R108" s="30" t="s">
        <v>476</v>
      </c>
      <c r="S108" s="34">
        <v>0</v>
      </c>
      <c r="T108" s="34" t="s">
        <v>484</v>
      </c>
      <c r="U108" s="34">
        <v>4</v>
      </c>
      <c r="V108" s="34">
        <v>15</v>
      </c>
      <c r="W108" s="30">
        <v>515</v>
      </c>
      <c r="X108" s="660" t="s">
        <v>30</v>
      </c>
      <c r="Y108" s="34"/>
    </row>
    <row r="109" spans="1:25" ht="28.8" x14ac:dyDescent="0.3">
      <c r="A109" s="769" t="s">
        <v>102</v>
      </c>
      <c r="B109" s="769" t="s">
        <v>103</v>
      </c>
      <c r="C109" s="769" t="s">
        <v>90</v>
      </c>
      <c r="D109" s="371" t="s">
        <v>244</v>
      </c>
      <c r="E109" s="49" t="str">
        <f>VLOOKUP(BOM!D109,'RECAP MATIERE'!$A$17:$G$75,5,FALSE)</f>
        <v>EU28: Stainless steel cold rolled coil 304 (18,5% Cr, 9% Ni)</v>
      </c>
      <c r="F109" s="49" t="str">
        <f>VLOOKUP(BOM!D109,'RECAP MATIERE'!$A$17:$G$75,6,FALSE)</f>
        <v>DE: Aluminium cast part machining
+ TTH compris dans le steel tinplated</v>
      </c>
      <c r="G109" s="816">
        <v>1.8054000000000001E-2</v>
      </c>
      <c r="H109" s="773">
        <f t="shared" si="6"/>
        <v>0</v>
      </c>
      <c r="I109" s="816"/>
      <c r="J109" s="786"/>
      <c r="K109" s="49" t="str">
        <f>VLOOKUP(BOM!D109,'RECAP MATIERE'!$A$17:$G$75,7,FALSE)</f>
        <v>Crédit?</v>
      </c>
      <c r="L109" s="34"/>
      <c r="M109" s="34"/>
      <c r="N109" s="34"/>
      <c r="O109" s="34"/>
      <c r="P109" s="30" t="s">
        <v>483</v>
      </c>
      <c r="Q109" s="30" t="s">
        <v>99</v>
      </c>
      <c r="R109" s="30" t="s">
        <v>477</v>
      </c>
      <c r="S109" s="34">
        <v>0</v>
      </c>
      <c r="T109" s="34" t="s">
        <v>484</v>
      </c>
      <c r="U109" s="34">
        <v>4</v>
      </c>
      <c r="V109" s="34">
        <v>15</v>
      </c>
      <c r="W109" s="30">
        <v>515</v>
      </c>
      <c r="X109" s="660" t="s">
        <v>30</v>
      </c>
      <c r="Y109" s="34"/>
    </row>
    <row r="110" spans="1:25" ht="28.8" x14ac:dyDescent="0.3">
      <c r="A110" s="769" t="s">
        <v>102</v>
      </c>
      <c r="B110" s="769" t="s">
        <v>103</v>
      </c>
      <c r="C110" s="769" t="s">
        <v>90</v>
      </c>
      <c r="D110" s="372" t="s">
        <v>253</v>
      </c>
      <c r="E110" s="49" t="str">
        <f>VLOOKUP(BOM!D110,'RECAP MATIERE'!$A$17:$G$75,5,FALSE)</f>
        <v>EU: Steel tinplated</v>
      </c>
      <c r="F110" s="49" t="str">
        <f>VLOOKUP(BOM!D110,'RECAP MATIERE'!$A$17:$G$75,6,FALSE)</f>
        <v>DE: Aluminium cast part machining
+ TTH compris dans le steel tinplated</v>
      </c>
      <c r="G110" s="809">
        <v>0.7096766000000001</v>
      </c>
      <c r="H110" s="773">
        <f t="shared" si="6"/>
        <v>0</v>
      </c>
      <c r="I110" s="809"/>
      <c r="J110" s="786"/>
      <c r="K110" s="49" t="str">
        <f>VLOOKUP(BOM!D110,'RECAP MATIERE'!$A$17:$G$75,7,FALSE)</f>
        <v>Crédit?</v>
      </c>
      <c r="L110" s="34"/>
      <c r="M110" s="34"/>
      <c r="N110" s="34"/>
      <c r="O110" s="34"/>
      <c r="P110" s="30" t="s">
        <v>483</v>
      </c>
      <c r="Q110" s="30" t="s">
        <v>99</v>
      </c>
      <c r="R110" s="30" t="s">
        <v>478</v>
      </c>
      <c r="S110" s="34">
        <v>0</v>
      </c>
      <c r="T110" s="34" t="s">
        <v>484</v>
      </c>
      <c r="U110" s="34">
        <v>4</v>
      </c>
      <c r="V110" s="34">
        <v>15</v>
      </c>
      <c r="W110" s="30">
        <v>515</v>
      </c>
      <c r="X110" s="660" t="s">
        <v>30</v>
      </c>
      <c r="Y110" s="34"/>
    </row>
    <row r="111" spans="1:25" ht="28.8" x14ac:dyDescent="0.3">
      <c r="A111" s="769" t="s">
        <v>102</v>
      </c>
      <c r="B111" s="769" t="s">
        <v>103</v>
      </c>
      <c r="C111" s="769" t="s">
        <v>90</v>
      </c>
      <c r="D111" s="374" t="s">
        <v>265</v>
      </c>
      <c r="E111" s="49" t="str">
        <f>VLOOKUP(BOM!D111,'RECAP MATIERE'!$A$17:$G$75,5,FALSE)</f>
        <v>EU: Steel tinplated</v>
      </c>
      <c r="F111" s="49" t="str">
        <f>VLOOKUP(BOM!D111,'RECAP MATIERE'!$A$17:$G$75,6,FALSE)</f>
        <v>DE: Aluminium cast part machining
+ TTH compris dans le steel tinplated</v>
      </c>
      <c r="G111" s="817">
        <v>2.7E-2</v>
      </c>
      <c r="H111" s="773">
        <f t="shared" si="6"/>
        <v>0</v>
      </c>
      <c r="I111" s="817"/>
      <c r="J111" s="786"/>
      <c r="K111" s="49" t="str">
        <f>VLOOKUP(BOM!D111,'RECAP MATIERE'!$A$17:$G$75,7,FALSE)</f>
        <v>Crédit?</v>
      </c>
      <c r="L111" s="34"/>
      <c r="M111" s="34"/>
      <c r="N111" s="34"/>
      <c r="O111" s="34"/>
      <c r="P111" s="30" t="s">
        <v>483</v>
      </c>
      <c r="Q111" s="30" t="s">
        <v>99</v>
      </c>
      <c r="R111" s="30" t="s">
        <v>479</v>
      </c>
      <c r="S111" s="34">
        <v>0</v>
      </c>
      <c r="T111" s="34" t="s">
        <v>484</v>
      </c>
      <c r="U111" s="34">
        <v>4</v>
      </c>
      <c r="V111" s="34">
        <v>15</v>
      </c>
      <c r="W111" s="30">
        <v>515</v>
      </c>
      <c r="X111" s="660" t="s">
        <v>30</v>
      </c>
      <c r="Y111" s="34"/>
    </row>
    <row r="112" spans="1:25" ht="43.2" x14ac:dyDescent="0.3">
      <c r="A112" s="769" t="s">
        <v>102</v>
      </c>
      <c r="B112" s="769" t="s">
        <v>103</v>
      </c>
      <c r="C112" s="769" t="s">
        <v>90</v>
      </c>
      <c r="D112" s="793" t="s">
        <v>262</v>
      </c>
      <c r="E112" s="49" t="str">
        <f>VLOOKUP(BOM!D112,'RECAP MATIERE'!$A$17:$G$75,5,FALSE)</f>
        <v>EU28: Polyamide 6</v>
      </c>
      <c r="F112" s="49" t="str">
        <f>VLOOKUP(BOM!D112,'RECAP MATIERE'!$A$17:$G$75,6,FALSE)</f>
        <v>GLO: plastic injection moulding</v>
      </c>
      <c r="G112" s="813">
        <v>0.01</v>
      </c>
      <c r="H112" s="773">
        <f t="shared" si="6"/>
        <v>0</v>
      </c>
      <c r="I112" s="813"/>
      <c r="J112" s="786"/>
      <c r="K112" s="49" t="str">
        <f>VLOOKUP(BOM!D112,'RECAP MATIERE'!$A$17:$G$75,7,FALSE)</f>
        <v>[Nation] Plastics in waste incineration plants</v>
      </c>
      <c r="L112" s="34"/>
      <c r="M112" s="34"/>
      <c r="N112" s="34"/>
      <c r="O112" s="34"/>
      <c r="P112" s="30" t="s">
        <v>483</v>
      </c>
      <c r="Q112" s="30" t="s">
        <v>99</v>
      </c>
      <c r="R112" s="30" t="s">
        <v>485</v>
      </c>
      <c r="S112" s="34">
        <v>0</v>
      </c>
      <c r="T112" s="34" t="s">
        <v>484</v>
      </c>
      <c r="U112" s="34">
        <v>4</v>
      </c>
      <c r="V112" s="34">
        <v>15</v>
      </c>
      <c r="W112" s="30">
        <v>515</v>
      </c>
      <c r="X112" s="660" t="s">
        <v>30</v>
      </c>
      <c r="Y112" s="34"/>
    </row>
    <row r="113" spans="1:25" x14ac:dyDescent="0.3">
      <c r="A113" s="769" t="s">
        <v>102</v>
      </c>
      <c r="B113" s="769" t="s">
        <v>243</v>
      </c>
      <c r="C113" s="769"/>
      <c r="D113" s="35" t="s">
        <v>452</v>
      </c>
      <c r="E113" s="49" t="str">
        <f>VLOOKUP(BOM!D113,'RECAP MATIERE'!$A$17:$G$75,5,FALSE)</f>
        <v>EU28: Plywood board</v>
      </c>
      <c r="F113" s="49" t="str">
        <f>VLOOKUP(BOM!D113,'RECAP MATIERE'!$A$17:$G$75,6,FALSE)</f>
        <v>N/A</v>
      </c>
      <c r="G113" s="798">
        <f>0.95*I113/40</f>
        <v>8.9062500000000003E-2</v>
      </c>
      <c r="H113" s="773">
        <f t="shared" si="6"/>
        <v>0</v>
      </c>
      <c r="I113" s="896">
        <f t="shared" ref="I113" si="12">V112/U112</f>
        <v>3.75</v>
      </c>
      <c r="J113" s="786"/>
      <c r="K113" s="49" t="str">
        <f>VLOOKUP(BOM!D113,'RECAP MATIERE'!$A$17:$G$75,7,FALSE)</f>
        <v>N/A</v>
      </c>
      <c r="L113" s="34"/>
      <c r="M113" s="34"/>
      <c r="N113" s="34"/>
      <c r="O113" s="894"/>
      <c r="P113" s="30"/>
      <c r="Q113" s="30"/>
      <c r="R113" s="30" t="s">
        <v>485</v>
      </c>
      <c r="S113" s="34">
        <v>0</v>
      </c>
      <c r="T113" s="34" t="s">
        <v>484</v>
      </c>
      <c r="U113" s="34"/>
      <c r="V113" s="34"/>
      <c r="W113" s="30"/>
      <c r="X113" s="660"/>
      <c r="Y113" s="34"/>
    </row>
    <row r="114" spans="1:25" x14ac:dyDescent="0.3">
      <c r="A114" s="769" t="s">
        <v>102</v>
      </c>
      <c r="B114" s="769" t="s">
        <v>243</v>
      </c>
      <c r="C114" s="769"/>
      <c r="D114" s="35" t="s">
        <v>419</v>
      </c>
      <c r="E114" s="49"/>
      <c r="F114" s="49"/>
      <c r="G114" s="798">
        <f>0.045*I114/40</f>
        <v>4.2187499999999994E-3</v>
      </c>
      <c r="H114" s="773">
        <f t="shared" si="6"/>
        <v>0</v>
      </c>
      <c r="I114" s="896">
        <f>V112/U112</f>
        <v>3.75</v>
      </c>
      <c r="J114" s="786"/>
      <c r="K114" s="49"/>
      <c r="L114" s="34"/>
      <c r="M114" s="34"/>
      <c r="N114" s="34"/>
      <c r="O114" s="894"/>
      <c r="P114" s="30"/>
      <c r="Q114" s="30"/>
      <c r="R114" s="30" t="s">
        <v>485</v>
      </c>
      <c r="S114" s="34"/>
      <c r="T114" s="34"/>
      <c r="U114" s="34"/>
      <c r="V114" s="34"/>
      <c r="W114" s="30"/>
      <c r="X114" s="660"/>
      <c r="Y114" s="34"/>
    </row>
    <row r="115" spans="1:25" x14ac:dyDescent="0.3">
      <c r="A115" s="769" t="s">
        <v>102</v>
      </c>
      <c r="B115" s="769" t="s">
        <v>243</v>
      </c>
      <c r="C115" s="769"/>
      <c r="D115" s="897" t="s">
        <v>131</v>
      </c>
      <c r="E115" s="49" t="str">
        <f>VLOOKUP(BOM!D115,'RECAP MATIERE'!$A$17:$G$75,5,FALSE)</f>
        <v>EU28: Expanded polyethylene foam</v>
      </c>
      <c r="F115" s="49" t="str">
        <f>VLOOKUP(BOM!D115,'RECAP MATIERE'!$A$17:$G$75,6,FALSE)</f>
        <v>N/A</v>
      </c>
      <c r="G115" s="897">
        <f>0.005*I115/40</f>
        <v>4.6874999999999998E-4</v>
      </c>
      <c r="H115" s="773">
        <f t="shared" si="6"/>
        <v>0</v>
      </c>
      <c r="I115" s="896">
        <f>V112/U112</f>
        <v>3.75</v>
      </c>
      <c r="J115" s="786"/>
      <c r="K115" s="49" t="str">
        <f>VLOOKUP(BOM!D115,'RECAP MATIERE'!$A$17:$G$75,7,FALSE)</f>
        <v>N/A</v>
      </c>
      <c r="L115" s="34"/>
      <c r="M115" s="34"/>
      <c r="N115" s="34"/>
      <c r="O115" s="894"/>
      <c r="P115" s="30"/>
      <c r="Q115" s="30"/>
      <c r="R115" s="30" t="s">
        <v>485</v>
      </c>
      <c r="S115" s="34">
        <v>0</v>
      </c>
      <c r="T115" s="34" t="s">
        <v>484</v>
      </c>
      <c r="U115" s="34"/>
      <c r="V115" s="34"/>
      <c r="W115" s="30"/>
      <c r="X115" s="660"/>
      <c r="Y115" s="34"/>
    </row>
    <row r="116" spans="1:25" ht="57.6" x14ac:dyDescent="0.3">
      <c r="A116" s="769" t="s">
        <v>105</v>
      </c>
      <c r="B116" s="769" t="s">
        <v>106</v>
      </c>
      <c r="C116" s="769" t="s">
        <v>90</v>
      </c>
      <c r="D116" s="775" t="s">
        <v>91</v>
      </c>
      <c r="E116" s="49" t="str">
        <f>VLOOKUP(BOM!D116,'RECAP MATIERE'!$A$17:$G$75,5,FALSE)</f>
        <v>EU28: AlMg4.5 sheet</v>
      </c>
      <c r="F116" s="49" t="str">
        <f>VLOOKUP(BOM!D116,'RECAP MATIERE'!$A$17:$G$75,6,FALSE)</f>
        <v>DE: Aluminium cast part machining
GLO: Steel sheet stamping and bending</v>
      </c>
      <c r="G116" s="775">
        <v>2.4E-2</v>
      </c>
      <c r="H116" s="773">
        <f t="shared" si="6"/>
        <v>0</v>
      </c>
      <c r="I116" s="775"/>
      <c r="J116" s="786"/>
      <c r="K116" s="49" t="str">
        <f>VLOOKUP(BOM!D116,'RECAP MATIERE'!$A$17:$G$75,7,FALSE)</f>
        <v>EU28: Aluminium remelting: wrought alloy ingot from scrap</v>
      </c>
      <c r="L116" s="34"/>
      <c r="M116" s="34"/>
      <c r="N116" s="34"/>
      <c r="O116" s="890" t="s">
        <v>112</v>
      </c>
      <c r="P116" s="30" t="s">
        <v>486</v>
      </c>
      <c r="Q116" s="30" t="s">
        <v>99</v>
      </c>
      <c r="R116" s="30" t="s">
        <v>471</v>
      </c>
      <c r="S116" s="34" t="s">
        <v>487</v>
      </c>
      <c r="T116" s="34">
        <v>0</v>
      </c>
      <c r="U116" s="34">
        <v>12</v>
      </c>
      <c r="V116" s="34">
        <v>2</v>
      </c>
      <c r="W116" s="30">
        <v>515</v>
      </c>
      <c r="X116" s="660" t="s">
        <v>30</v>
      </c>
      <c r="Y116" s="34"/>
    </row>
    <row r="117" spans="1:25" ht="28.8" x14ac:dyDescent="0.3">
      <c r="A117" s="769" t="s">
        <v>105</v>
      </c>
      <c r="B117" s="769" t="s">
        <v>106</v>
      </c>
      <c r="C117" s="769" t="s">
        <v>90</v>
      </c>
      <c r="D117" s="818" t="s">
        <v>245</v>
      </c>
      <c r="E117" s="49" t="str">
        <f>VLOOKUP(BOM!D117,'RECAP MATIERE'!$A$17:$G$75,5,FALSE)</f>
        <v>EU28: Copper sheet mix (Europe 2015)</v>
      </c>
      <c r="F117" s="49" t="str">
        <f>VLOOKUP(BOM!D117,'RECAP MATIERE'!$A$17:$G$75,6,FALSE)</f>
        <v>DE: Aluminium cast part machining
+ TTH à trouver</v>
      </c>
      <c r="G117" s="818">
        <v>6.0000000000000001E-3</v>
      </c>
      <c r="H117" s="773">
        <f t="shared" si="6"/>
        <v>0</v>
      </c>
      <c r="I117" s="818"/>
      <c r="J117" s="786"/>
      <c r="K117" s="49" t="str">
        <f>VLOOKUP(BOM!D117,'RECAP MATIERE'!$A$17:$G$75,7,FALSE)</f>
        <v>Crédit?</v>
      </c>
      <c r="L117" s="34"/>
      <c r="M117" s="34"/>
      <c r="N117" s="34"/>
      <c r="O117" s="34"/>
      <c r="P117" s="30" t="s">
        <v>486</v>
      </c>
      <c r="Q117" s="30" t="s">
        <v>99</v>
      </c>
      <c r="R117" s="30" t="s">
        <v>474</v>
      </c>
      <c r="S117" s="34" t="s">
        <v>487</v>
      </c>
      <c r="T117" s="34">
        <v>0</v>
      </c>
      <c r="U117" s="34">
        <v>12</v>
      </c>
      <c r="V117" s="34">
        <v>2</v>
      </c>
      <c r="W117" s="30">
        <v>515</v>
      </c>
      <c r="X117" s="660" t="s">
        <v>30</v>
      </c>
      <c r="Y117" s="34"/>
    </row>
    <row r="118" spans="1:25" ht="28.8" x14ac:dyDescent="0.3">
      <c r="A118" s="769" t="s">
        <v>105</v>
      </c>
      <c r="B118" s="769" t="s">
        <v>106</v>
      </c>
      <c r="C118" s="769" t="s">
        <v>90</v>
      </c>
      <c r="D118" s="372" t="s">
        <v>253</v>
      </c>
      <c r="E118" s="49" t="str">
        <f>VLOOKUP(BOM!D118,'RECAP MATIERE'!$A$17:$G$75,5,FALSE)</f>
        <v>EU: Steel tinplated</v>
      </c>
      <c r="F118" s="49" t="str">
        <f>VLOOKUP(BOM!D118,'RECAP MATIERE'!$A$17:$G$75,6,FALSE)</f>
        <v>DE: Aluminium cast part machining
+ TTH compris dans le steel tinplated</v>
      </c>
      <c r="G118" s="372">
        <v>2.4E-2</v>
      </c>
      <c r="H118" s="773">
        <f t="shared" si="6"/>
        <v>0</v>
      </c>
      <c r="I118" s="372"/>
      <c r="J118" s="786"/>
      <c r="K118" s="49" t="str">
        <f>VLOOKUP(BOM!D118,'RECAP MATIERE'!$A$17:$G$75,7,FALSE)</f>
        <v>Crédit?</v>
      </c>
      <c r="L118" s="34"/>
      <c r="M118" s="34"/>
      <c r="N118" s="34"/>
      <c r="O118" s="34"/>
      <c r="P118" s="30" t="s">
        <v>486</v>
      </c>
      <c r="Q118" s="30" t="s">
        <v>99</v>
      </c>
      <c r="R118" s="30" t="s">
        <v>475</v>
      </c>
      <c r="S118" s="34" t="s">
        <v>487</v>
      </c>
      <c r="T118" s="34">
        <v>0</v>
      </c>
      <c r="U118" s="34">
        <v>12</v>
      </c>
      <c r="V118" s="34">
        <v>2</v>
      </c>
      <c r="W118" s="30">
        <v>515</v>
      </c>
      <c r="X118" s="660" t="s">
        <v>30</v>
      </c>
      <c r="Y118" s="34"/>
    </row>
    <row r="119" spans="1:25" ht="43.2" x14ac:dyDescent="0.3">
      <c r="A119" s="769" t="s">
        <v>105</v>
      </c>
      <c r="B119" s="769" t="s">
        <v>106</v>
      </c>
      <c r="C119" s="769" t="s">
        <v>90</v>
      </c>
      <c r="D119" s="819" t="s">
        <v>274</v>
      </c>
      <c r="E119" s="49" t="str">
        <f>VLOOKUP(BOM!D119,'RECAP MATIERE'!$A$17:$G$75,5,FALSE)</f>
        <v>EU28: Polycarbonate</v>
      </c>
      <c r="F119" s="49" t="str">
        <f>VLOOKUP(BOM!D119,'RECAP MATIERE'!$A$17:$G$75,6,FALSE)</f>
        <v>SIMAPRO : extrusion and thermoforming</v>
      </c>
      <c r="G119" s="819">
        <v>0.151</v>
      </c>
      <c r="H119" s="773">
        <f t="shared" si="6"/>
        <v>0</v>
      </c>
      <c r="I119" s="819"/>
      <c r="J119" s="786"/>
      <c r="K119" s="49" t="str">
        <f>VLOOKUP(BOM!D119,'RECAP MATIERE'!$A$17:$G$75,7,FALSE)</f>
        <v>[Nation] Plastics in waste incineration plants</v>
      </c>
      <c r="L119" s="34"/>
      <c r="M119" s="34"/>
      <c r="N119" s="34"/>
      <c r="O119" s="34"/>
      <c r="P119" s="30" t="s">
        <v>486</v>
      </c>
      <c r="Q119" s="30" t="s">
        <v>99</v>
      </c>
      <c r="R119" s="30" t="s">
        <v>476</v>
      </c>
      <c r="S119" s="34" t="s">
        <v>487</v>
      </c>
      <c r="T119" s="34">
        <v>0</v>
      </c>
      <c r="U119" s="34">
        <v>12</v>
      </c>
      <c r="V119" s="34">
        <v>2</v>
      </c>
      <c r="W119" s="30">
        <v>515</v>
      </c>
      <c r="X119" s="660" t="s">
        <v>30</v>
      </c>
      <c r="Y119" s="34"/>
    </row>
    <row r="120" spans="1:25" x14ac:dyDescent="0.3">
      <c r="A120" s="769" t="s">
        <v>105</v>
      </c>
      <c r="B120" s="769" t="s">
        <v>243</v>
      </c>
      <c r="C120" s="769"/>
      <c r="D120" s="896" t="s">
        <v>419</v>
      </c>
      <c r="E120" s="49" t="str">
        <f>VLOOKUP(BOM!D120,'RECAP MATIERE'!$A$17:$G$75,5,FALSE)</f>
        <v>EU28: Carton from folding boxboard</v>
      </c>
      <c r="F120" s="49" t="str">
        <f>VLOOKUP(BOM!D120,'RECAP MATIERE'!$A$17:$G$75,6,FALSE)</f>
        <v>N/A</v>
      </c>
      <c r="G120" s="896">
        <f>0.9*I120</f>
        <v>0.15</v>
      </c>
      <c r="H120" s="773">
        <f t="shared" si="6"/>
        <v>0</v>
      </c>
      <c r="I120" s="896">
        <f t="shared" ref="I120" si="13">V119/U119</f>
        <v>0.16666666666666666</v>
      </c>
      <c r="J120" s="786"/>
      <c r="K120" s="49" t="str">
        <f>VLOOKUP(BOM!D120,'RECAP MATIERE'!$A$17:$G$75,7,FALSE)</f>
        <v>N/A</v>
      </c>
      <c r="L120" s="34"/>
      <c r="M120" s="34"/>
      <c r="N120" s="34"/>
      <c r="O120" s="34"/>
      <c r="P120" s="30"/>
      <c r="Q120" s="30"/>
      <c r="R120" s="30" t="s">
        <v>476</v>
      </c>
      <c r="S120" s="34" t="s">
        <v>487</v>
      </c>
      <c r="T120" s="34">
        <v>0</v>
      </c>
      <c r="U120" s="34"/>
      <c r="V120" s="34"/>
      <c r="W120" s="30"/>
      <c r="X120" s="660"/>
      <c r="Y120" s="34"/>
    </row>
    <row r="121" spans="1:25" x14ac:dyDescent="0.3">
      <c r="A121" s="769" t="s">
        <v>105</v>
      </c>
      <c r="B121" s="769" t="s">
        <v>243</v>
      </c>
      <c r="D121" s="901" t="s">
        <v>488</v>
      </c>
      <c r="E121" s="49" t="str">
        <f>VLOOKUP(BOM!D121,'RECAP MATIERE'!$A$17:$G$75,5,FALSE)</f>
        <v>EU25: Graphic paper</v>
      </c>
      <c r="F121" s="49" t="str">
        <f>VLOOKUP(BOM!D121,'RECAP MATIERE'!$A$17:$G$75,6,FALSE)</f>
        <v>N/A</v>
      </c>
      <c r="G121" s="901">
        <f>0.1*I121</f>
        <v>1.6666666666666666E-2</v>
      </c>
      <c r="H121" s="773">
        <f t="shared" si="6"/>
        <v>0</v>
      </c>
      <c r="I121" s="896">
        <f>V119/U119</f>
        <v>0.16666666666666666</v>
      </c>
      <c r="J121" s="786"/>
      <c r="K121" s="49" t="str">
        <f>VLOOKUP(BOM!D121,'RECAP MATIERE'!$A$17:$G$75,7,FALSE)</f>
        <v>N/A</v>
      </c>
      <c r="L121" s="34"/>
      <c r="M121" s="34"/>
      <c r="N121" s="34"/>
      <c r="O121" s="34"/>
      <c r="P121" s="30"/>
      <c r="Q121" s="30"/>
      <c r="R121" s="30" t="s">
        <v>476</v>
      </c>
      <c r="S121" s="34" t="s">
        <v>487</v>
      </c>
      <c r="T121" s="34">
        <v>0</v>
      </c>
      <c r="U121" s="34"/>
      <c r="V121" s="34"/>
      <c r="W121" s="30"/>
      <c r="X121" s="660"/>
      <c r="Y121" s="34"/>
    </row>
    <row r="122" spans="1:25" ht="57.6" x14ac:dyDescent="0.3">
      <c r="A122" s="769" t="s">
        <v>113</v>
      </c>
      <c r="B122" s="769" t="s">
        <v>114</v>
      </c>
      <c r="C122" s="769" t="s">
        <v>90</v>
      </c>
      <c r="D122" s="775" t="s">
        <v>91</v>
      </c>
      <c r="E122" s="49" t="str">
        <f>VLOOKUP(BOM!D122,'RECAP MATIERE'!$A$17:$G$75,5,FALSE)</f>
        <v>EU28: AlMg4.5 sheet</v>
      </c>
      <c r="F122" s="49" t="str">
        <f>VLOOKUP(BOM!D122,'RECAP MATIERE'!$A$17:$G$75,6,FALSE)</f>
        <v>DE: Aluminium cast part machining
GLO: Steel sheet stamping and bending</v>
      </c>
      <c r="G122" s="775">
        <v>1.9279999999999999</v>
      </c>
      <c r="H122" s="773">
        <f t="shared" si="6"/>
        <v>0</v>
      </c>
      <c r="I122" s="775"/>
      <c r="J122" s="786"/>
      <c r="K122" s="49" t="str">
        <f>VLOOKUP(BOM!D122,'RECAP MATIERE'!$A$17:$G$75,7,FALSE)</f>
        <v>EU28: Aluminium remelting: wrought alloy ingot from scrap</v>
      </c>
      <c r="L122" s="34"/>
      <c r="M122" s="34"/>
      <c r="N122" s="34"/>
      <c r="O122" s="34"/>
      <c r="P122" s="30" t="s">
        <v>483</v>
      </c>
      <c r="Q122" s="30" t="s">
        <v>75</v>
      </c>
      <c r="R122" s="30" t="s">
        <v>489</v>
      </c>
      <c r="S122" s="34">
        <v>0</v>
      </c>
      <c r="T122" s="34" t="s">
        <v>480</v>
      </c>
      <c r="U122" s="34">
        <v>6</v>
      </c>
      <c r="V122" s="34">
        <v>15</v>
      </c>
      <c r="W122" s="30">
        <v>151</v>
      </c>
      <c r="X122" s="660" t="s">
        <v>30</v>
      </c>
      <c r="Y122" s="34"/>
    </row>
    <row r="123" spans="1:25" ht="28.8" x14ac:dyDescent="0.3">
      <c r="A123" s="769" t="s">
        <v>113</v>
      </c>
      <c r="B123" s="769" t="s">
        <v>114</v>
      </c>
      <c r="C123" s="769" t="s">
        <v>90</v>
      </c>
      <c r="D123" s="372" t="s">
        <v>253</v>
      </c>
      <c r="E123" s="49" t="str">
        <f>VLOOKUP(BOM!D123,'RECAP MATIERE'!$A$17:$G$75,5,FALSE)</f>
        <v>EU: Steel tinplated</v>
      </c>
      <c r="F123" s="49" t="str">
        <f>VLOOKUP(BOM!D123,'RECAP MATIERE'!$A$17:$G$75,6,FALSE)</f>
        <v>DE: Aluminium cast part machining
+ TTH compris dans le steel tinplated</v>
      </c>
      <c r="G123" s="372">
        <v>6.6644300000000004E-2</v>
      </c>
      <c r="H123" s="773">
        <f t="shared" si="6"/>
        <v>0</v>
      </c>
      <c r="I123" s="372"/>
      <c r="J123" s="786"/>
      <c r="K123" s="49" t="str">
        <f>VLOOKUP(BOM!D123,'RECAP MATIERE'!$A$17:$G$75,7,FALSE)</f>
        <v>Crédit?</v>
      </c>
      <c r="L123" s="34"/>
      <c r="M123" s="34"/>
      <c r="N123" s="34"/>
      <c r="O123" s="34"/>
      <c r="P123" s="30" t="s">
        <v>483</v>
      </c>
      <c r="Q123" s="30" t="s">
        <v>75</v>
      </c>
      <c r="R123" s="30" t="s">
        <v>490</v>
      </c>
      <c r="S123" s="34">
        <v>0</v>
      </c>
      <c r="T123" s="34" t="s">
        <v>480</v>
      </c>
      <c r="U123" s="34">
        <v>6</v>
      </c>
      <c r="V123" s="34">
        <v>15</v>
      </c>
      <c r="W123" s="30">
        <v>151</v>
      </c>
      <c r="X123" s="660" t="s">
        <v>30</v>
      </c>
      <c r="Y123" s="34"/>
    </row>
    <row r="124" spans="1:25" ht="43.2" x14ac:dyDescent="0.3">
      <c r="A124" s="769" t="s">
        <v>113</v>
      </c>
      <c r="B124" s="769" t="s">
        <v>114</v>
      </c>
      <c r="C124" s="769" t="s">
        <v>90</v>
      </c>
      <c r="D124" s="793" t="s">
        <v>262</v>
      </c>
      <c r="E124" s="49" t="str">
        <f>VLOOKUP(BOM!D124,'RECAP MATIERE'!$A$17:$G$75,5,FALSE)</f>
        <v>EU28: Polyamide 6</v>
      </c>
      <c r="F124" s="49" t="str">
        <f>VLOOKUP(BOM!D124,'RECAP MATIERE'!$A$17:$G$75,6,FALSE)</f>
        <v>GLO: plastic injection moulding</v>
      </c>
      <c r="G124" s="793">
        <v>2.7250000000000001E-4</v>
      </c>
      <c r="H124" s="773">
        <f t="shared" si="6"/>
        <v>0</v>
      </c>
      <c r="I124" s="793"/>
      <c r="J124" s="786"/>
      <c r="K124" s="49" t="str">
        <f>VLOOKUP(BOM!D124,'RECAP MATIERE'!$A$17:$G$75,7,FALSE)</f>
        <v>[Nation] Plastics in waste incineration plants</v>
      </c>
      <c r="L124" s="34"/>
      <c r="M124" s="34"/>
      <c r="N124" s="34"/>
      <c r="O124" s="34"/>
      <c r="P124" s="30" t="s">
        <v>483</v>
      </c>
      <c r="Q124" s="30" t="s">
        <v>75</v>
      </c>
      <c r="R124" s="30" t="s">
        <v>491</v>
      </c>
      <c r="S124" s="34">
        <v>0</v>
      </c>
      <c r="T124" s="34" t="s">
        <v>480</v>
      </c>
      <c r="U124" s="34">
        <v>6</v>
      </c>
      <c r="V124" s="34">
        <v>15</v>
      </c>
      <c r="W124" s="30">
        <v>151</v>
      </c>
      <c r="X124" s="660" t="s">
        <v>30</v>
      </c>
      <c r="Y124" s="34"/>
    </row>
    <row r="125" spans="1:25" ht="28.8" x14ac:dyDescent="0.3">
      <c r="A125" s="769" t="s">
        <v>113</v>
      </c>
      <c r="B125" s="769" t="s">
        <v>243</v>
      </c>
      <c r="C125" s="769"/>
      <c r="D125" s="35" t="s">
        <v>452</v>
      </c>
      <c r="E125" s="49" t="str">
        <f>VLOOKUP(BOM!D125,'RECAP MATIERE'!$A$17:$G$75,5,FALSE)</f>
        <v>EU28: Plywood board</v>
      </c>
      <c r="F125" s="49" t="str">
        <f>VLOOKUP(BOM!D125,'RECAP MATIERE'!$A$17:$G$75,6,FALSE)</f>
        <v>N/A</v>
      </c>
      <c r="G125" s="798">
        <f>0.95*I125/40</f>
        <v>5.9374999999999997E-2</v>
      </c>
      <c r="H125" s="773">
        <f t="shared" si="6"/>
        <v>0</v>
      </c>
      <c r="I125" s="896">
        <f t="shared" ref="I125" si="14">V124/U124</f>
        <v>2.5</v>
      </c>
      <c r="J125" s="786"/>
      <c r="K125" s="49" t="str">
        <f>VLOOKUP(BOM!D125,'RECAP MATIERE'!$A$17:$G$75,7,FALSE)</f>
        <v>N/A</v>
      </c>
      <c r="L125" s="34"/>
      <c r="M125" s="34"/>
      <c r="N125" s="34"/>
      <c r="O125" s="34"/>
      <c r="P125" s="30"/>
      <c r="Q125" s="30"/>
      <c r="R125" s="30" t="s">
        <v>491</v>
      </c>
      <c r="S125" s="34">
        <v>0</v>
      </c>
      <c r="T125" s="34" t="s">
        <v>480</v>
      </c>
      <c r="U125" s="34"/>
      <c r="V125" s="34"/>
      <c r="W125" s="30"/>
      <c r="X125" s="660"/>
      <c r="Y125" s="34"/>
    </row>
    <row r="126" spans="1:25" ht="28.8" x14ac:dyDescent="0.3">
      <c r="A126" s="769" t="s">
        <v>113</v>
      </c>
      <c r="B126" s="769" t="s">
        <v>243</v>
      </c>
      <c r="C126" s="769"/>
      <c r="D126" s="35" t="s">
        <v>419</v>
      </c>
      <c r="E126" s="49"/>
      <c r="F126" s="49"/>
      <c r="G126" s="798">
        <f>0.045*I126/40</f>
        <v>2.8124999999999999E-3</v>
      </c>
      <c r="H126" s="773">
        <f t="shared" si="6"/>
        <v>0</v>
      </c>
      <c r="I126" s="896">
        <f>V124/U124</f>
        <v>2.5</v>
      </c>
      <c r="J126" s="786"/>
      <c r="K126" s="49"/>
      <c r="L126" s="34"/>
      <c r="M126" s="34"/>
      <c r="N126" s="34"/>
      <c r="O126" s="34"/>
      <c r="P126" s="30"/>
      <c r="Q126" s="30"/>
      <c r="R126" s="30" t="s">
        <v>491</v>
      </c>
      <c r="S126" s="34"/>
      <c r="T126" s="34"/>
      <c r="U126" s="34"/>
      <c r="V126" s="34"/>
      <c r="W126" s="30"/>
      <c r="X126" s="660"/>
      <c r="Y126" s="34"/>
    </row>
    <row r="127" spans="1:25" ht="28.8" x14ac:dyDescent="0.3">
      <c r="A127" s="769" t="s">
        <v>113</v>
      </c>
      <c r="B127" s="769" t="s">
        <v>243</v>
      </c>
      <c r="C127" s="769"/>
      <c r="D127" s="897" t="s">
        <v>131</v>
      </c>
      <c r="E127" s="49" t="str">
        <f>VLOOKUP(BOM!D127,'RECAP MATIERE'!$A$17:$G$75,5,FALSE)</f>
        <v>EU28: Expanded polyethylene foam</v>
      </c>
      <c r="F127" s="49" t="str">
        <f>VLOOKUP(BOM!D127,'RECAP MATIERE'!$A$17:$G$75,6,FALSE)</f>
        <v>N/A</v>
      </c>
      <c r="G127" s="897">
        <f>0.005*I127/40</f>
        <v>3.1250000000000001E-4</v>
      </c>
      <c r="H127" s="773">
        <f t="shared" si="6"/>
        <v>0</v>
      </c>
      <c r="I127" s="896">
        <f>V124/U124</f>
        <v>2.5</v>
      </c>
      <c r="J127" s="786"/>
      <c r="K127" s="49" t="str">
        <f>VLOOKUP(BOM!D127,'RECAP MATIERE'!$A$17:$G$75,7,FALSE)</f>
        <v>N/A</v>
      </c>
      <c r="L127" s="34"/>
      <c r="M127" s="34"/>
      <c r="N127" s="34"/>
      <c r="O127" s="34"/>
      <c r="P127" s="30"/>
      <c r="Q127" s="30"/>
      <c r="R127" s="30" t="s">
        <v>491</v>
      </c>
      <c r="S127" s="34">
        <v>0</v>
      </c>
      <c r="T127" s="34" t="s">
        <v>480</v>
      </c>
      <c r="U127" s="34"/>
      <c r="V127" s="34"/>
      <c r="W127" s="30"/>
      <c r="X127" s="660"/>
      <c r="Y127" s="34"/>
    </row>
    <row r="128" spans="1:25" ht="57.6" x14ac:dyDescent="0.3">
      <c r="A128" s="769" t="s">
        <v>116</v>
      </c>
      <c r="B128" s="769" t="s">
        <v>117</v>
      </c>
      <c r="C128" s="769" t="s">
        <v>90</v>
      </c>
      <c r="D128" s="775" t="s">
        <v>91</v>
      </c>
      <c r="E128" s="49" t="str">
        <f>VLOOKUP(BOM!D128,'RECAP MATIERE'!$A$17:$G$75,5,FALSE)</f>
        <v>EU28: AlMg4.5 sheet</v>
      </c>
      <c r="F128" s="49" t="str">
        <f>VLOOKUP(BOM!D128,'RECAP MATIERE'!$A$17:$G$75,6,FALSE)</f>
        <v>DE: Aluminium cast part machining
GLO: Steel sheet stamping and bending</v>
      </c>
      <c r="G128" s="775">
        <v>9.9000000000000005E-2</v>
      </c>
      <c r="H128" s="773">
        <f t="shared" si="6"/>
        <v>0</v>
      </c>
      <c r="I128" s="775"/>
      <c r="J128" s="786"/>
      <c r="K128" s="49" t="str">
        <f>VLOOKUP(BOM!D128,'RECAP MATIERE'!$A$17:$G$75,7,FALSE)</f>
        <v>EU28: Aluminium remelting: wrought alloy ingot from scrap</v>
      </c>
      <c r="L128" s="34"/>
      <c r="M128" s="34"/>
      <c r="N128" s="34"/>
      <c r="O128" s="34"/>
      <c r="P128" s="30" t="s">
        <v>483</v>
      </c>
      <c r="Q128" s="30" t="s">
        <v>93</v>
      </c>
      <c r="R128" s="30" t="s">
        <v>466</v>
      </c>
      <c r="S128" s="34" t="s">
        <v>492</v>
      </c>
      <c r="T128" s="34">
        <v>0</v>
      </c>
      <c r="U128" s="34">
        <v>12</v>
      </c>
      <c r="V128" s="34">
        <v>1.5</v>
      </c>
      <c r="W128" s="30">
        <v>240</v>
      </c>
      <c r="X128" s="660" t="s">
        <v>30</v>
      </c>
      <c r="Y128" s="34"/>
    </row>
    <row r="129" spans="1:25" ht="28.8" x14ac:dyDescent="0.3">
      <c r="A129" s="769" t="s">
        <v>116</v>
      </c>
      <c r="B129" s="769" t="s">
        <v>117</v>
      </c>
      <c r="C129" s="769" t="s">
        <v>90</v>
      </c>
      <c r="D129" s="372" t="s">
        <v>253</v>
      </c>
      <c r="E129" s="49" t="str">
        <f>VLOOKUP(BOM!D129,'RECAP MATIERE'!$A$17:$G$75,5,FALSE)</f>
        <v>EU: Steel tinplated</v>
      </c>
      <c r="F129" s="49" t="str">
        <f>VLOOKUP(BOM!D129,'RECAP MATIERE'!$A$17:$G$75,6,FALSE)</f>
        <v>DE: Aluminium cast part machining
+ TTH compris dans le steel tinplated</v>
      </c>
      <c r="G129" s="372">
        <v>3.0000000000000001E-3</v>
      </c>
      <c r="H129" s="773">
        <f t="shared" si="6"/>
        <v>0</v>
      </c>
      <c r="I129" s="372"/>
      <c r="J129" s="786"/>
      <c r="K129" s="49" t="str">
        <f>VLOOKUP(BOM!D129,'RECAP MATIERE'!$A$17:$G$75,7,FALSE)</f>
        <v>Crédit?</v>
      </c>
      <c r="L129" s="34"/>
      <c r="M129" s="34"/>
      <c r="N129" s="34"/>
      <c r="O129" s="34"/>
      <c r="P129" s="30" t="s">
        <v>483</v>
      </c>
      <c r="Q129" s="30" t="s">
        <v>93</v>
      </c>
      <c r="R129" s="30" t="s">
        <v>469</v>
      </c>
      <c r="S129" s="34" t="s">
        <v>492</v>
      </c>
      <c r="T129" s="34">
        <v>0</v>
      </c>
      <c r="U129" s="34">
        <v>12</v>
      </c>
      <c r="V129" s="34">
        <v>1.5</v>
      </c>
      <c r="W129" s="30">
        <v>240</v>
      </c>
      <c r="X129" s="660" t="s">
        <v>30</v>
      </c>
      <c r="Y129" s="34"/>
    </row>
    <row r="130" spans="1:25" x14ac:dyDescent="0.3">
      <c r="A130" s="769" t="s">
        <v>116</v>
      </c>
      <c r="B130" s="769" t="s">
        <v>243</v>
      </c>
      <c r="C130" s="769"/>
      <c r="D130" s="896" t="s">
        <v>419</v>
      </c>
      <c r="E130" s="49" t="str">
        <f>VLOOKUP(BOM!D130,'RECAP MATIERE'!$A$17:$G$75,5,FALSE)</f>
        <v>EU28: Carton from folding boxboard</v>
      </c>
      <c r="F130" s="49" t="str">
        <f>VLOOKUP(BOM!D130,'RECAP MATIERE'!$A$17:$G$75,6,FALSE)</f>
        <v>N/A</v>
      </c>
      <c r="G130" s="896">
        <f>0.9*I130</f>
        <v>0.1125</v>
      </c>
      <c r="H130" s="773">
        <f t="shared" si="6"/>
        <v>0</v>
      </c>
      <c r="I130" s="896">
        <f t="shared" ref="I130" si="15">V129/U129</f>
        <v>0.125</v>
      </c>
      <c r="J130" s="786"/>
      <c r="K130" s="49" t="str">
        <f>VLOOKUP(BOM!D130,'RECAP MATIERE'!$A$17:$G$75,7,FALSE)</f>
        <v>N/A</v>
      </c>
      <c r="L130" s="34"/>
      <c r="M130" s="34"/>
      <c r="N130" s="34"/>
      <c r="O130" s="34"/>
      <c r="P130" s="30"/>
      <c r="Q130" s="30"/>
      <c r="R130" s="30" t="s">
        <v>469</v>
      </c>
      <c r="S130" s="34" t="s">
        <v>492</v>
      </c>
      <c r="T130" s="34">
        <v>0</v>
      </c>
      <c r="U130" s="34"/>
      <c r="V130" s="34"/>
      <c r="W130" s="30"/>
      <c r="X130" s="660"/>
      <c r="Y130" s="34"/>
    </row>
    <row r="131" spans="1:25" x14ac:dyDescent="0.3">
      <c r="A131" s="769" t="s">
        <v>116</v>
      </c>
      <c r="B131" s="769" t="s">
        <v>243</v>
      </c>
      <c r="C131" s="769"/>
      <c r="D131" s="900" t="s">
        <v>442</v>
      </c>
      <c r="E131" s="49" t="str">
        <f>VLOOKUP(BOM!D131,'RECAP MATIERE'!$A$17:$G$75,5,FALSE)</f>
        <v>EU25: Graphic paper</v>
      </c>
      <c r="F131" s="49" t="str">
        <f>VLOOKUP(BOM!D131,'RECAP MATIERE'!$A$17:$G$75,6,FALSE)</f>
        <v>N/A</v>
      </c>
      <c r="G131" s="901">
        <f>0.1*I131</f>
        <v>1.2500000000000001E-2</v>
      </c>
      <c r="H131" s="773">
        <f t="shared" ref="H131:H194" si="16">L131/G131</f>
        <v>0</v>
      </c>
      <c r="I131" s="896">
        <f>V129/U129</f>
        <v>0.125</v>
      </c>
      <c r="J131" s="786"/>
      <c r="K131" s="49" t="str">
        <f>VLOOKUP(BOM!D131,'RECAP MATIERE'!$A$17:$G$75,7,FALSE)</f>
        <v>N/A</v>
      </c>
      <c r="L131" s="34"/>
      <c r="M131" s="34"/>
      <c r="N131" s="34"/>
      <c r="O131" s="34"/>
      <c r="P131" s="30"/>
      <c r="Q131" s="30"/>
      <c r="R131" s="30" t="s">
        <v>469</v>
      </c>
      <c r="S131" s="34" t="s">
        <v>492</v>
      </c>
      <c r="T131" s="34">
        <v>0</v>
      </c>
      <c r="U131" s="34"/>
      <c r="V131" s="34"/>
      <c r="W131" s="30"/>
      <c r="X131" s="660"/>
      <c r="Y131" s="34"/>
    </row>
    <row r="132" spans="1:25" ht="57.6" x14ac:dyDescent="0.3">
      <c r="A132" s="769" t="s">
        <v>118</v>
      </c>
      <c r="B132" s="769" t="s">
        <v>119</v>
      </c>
      <c r="C132" s="769" t="s">
        <v>493</v>
      </c>
      <c r="D132" s="772" t="s">
        <v>47</v>
      </c>
      <c r="E132" s="49" t="str">
        <f>VLOOKUP(BOM!D132,'RECAP MATIERE'!$A$17:$G$75,5,FALSE)</f>
        <v>EU28: AlCu4MgSi extrusion profile
ou EU28: AlCU4MgTi ingot
ou EU28 AlCu4Mg1  sheet</v>
      </c>
      <c r="F132" s="49" t="str">
        <f>VLOOKUP(BOM!D132,'RECAP MATIERE'!$A$17:$G$75,6,FALSE)</f>
        <v>DE: Aluminium cast part machining
+ SURTEC 650</v>
      </c>
      <c r="G132" s="772">
        <v>0.10338050000000001</v>
      </c>
      <c r="H132" s="773">
        <f t="shared" si="16"/>
        <v>8.1930344697500974</v>
      </c>
      <c r="I132" s="772"/>
      <c r="J132" s="772">
        <v>0.77699999999999991</v>
      </c>
      <c r="K132" s="49" t="str">
        <f>VLOOKUP(BOM!D132,'RECAP MATIERE'!$A$17:$G$75,7,FALSE)</f>
        <v>EU28: Aluminium remelting: wrought alloy ingot from scrap</v>
      </c>
      <c r="L132" s="772">
        <v>0.84699999999999998</v>
      </c>
      <c r="M132" s="772" t="s">
        <v>413</v>
      </c>
      <c r="N132" s="772">
        <v>0.01</v>
      </c>
      <c r="O132" s="772" t="s">
        <v>51</v>
      </c>
      <c r="P132" s="30" t="s">
        <v>493</v>
      </c>
      <c r="Q132" s="30" t="s">
        <v>66</v>
      </c>
      <c r="R132" s="30" t="s">
        <v>443</v>
      </c>
      <c r="S132" s="34">
        <v>0</v>
      </c>
      <c r="T132" s="34" t="s">
        <v>494</v>
      </c>
      <c r="U132" s="34">
        <v>3</v>
      </c>
      <c r="V132" s="34">
        <v>10</v>
      </c>
      <c r="W132" s="30">
        <v>295</v>
      </c>
      <c r="X132" s="660" t="s">
        <v>30</v>
      </c>
      <c r="Y132" s="34"/>
    </row>
    <row r="133" spans="1:25" ht="57.6" x14ac:dyDescent="0.3">
      <c r="A133" s="769" t="s">
        <v>118</v>
      </c>
      <c r="B133" s="769" t="s">
        <v>119</v>
      </c>
      <c r="C133" s="769" t="s">
        <v>493</v>
      </c>
      <c r="D133" s="775" t="s">
        <v>91</v>
      </c>
      <c r="E133" s="49" t="str">
        <f>VLOOKUP(BOM!D133,'RECAP MATIERE'!$A$17:$G$75,5,FALSE)</f>
        <v>EU28: AlMg4.5 sheet</v>
      </c>
      <c r="F133" s="49" t="str">
        <f>VLOOKUP(BOM!D133,'RECAP MATIERE'!$A$17:$G$75,6,FALSE)</f>
        <v>DE: Aluminium cast part machining
GLO: Steel sheet stamping and bending</v>
      </c>
      <c r="G133" s="776">
        <v>0.216</v>
      </c>
      <c r="H133" s="773">
        <f t="shared" si="16"/>
        <v>0</v>
      </c>
      <c r="I133" s="776"/>
      <c r="J133" s="786"/>
      <c r="K133" s="49" t="str">
        <f>VLOOKUP(BOM!D133,'RECAP MATIERE'!$A$17:$G$75,7,FALSE)</f>
        <v>EU28: Aluminium remelting: wrought alloy ingot from scrap</v>
      </c>
      <c r="L133" s="34"/>
      <c r="M133" s="34"/>
      <c r="N133" s="34"/>
      <c r="O133" s="34"/>
      <c r="P133" s="30" t="s">
        <v>493</v>
      </c>
      <c r="Q133" s="30" t="s">
        <v>66</v>
      </c>
      <c r="R133" s="30" t="s">
        <v>445</v>
      </c>
      <c r="S133" s="34">
        <v>0</v>
      </c>
      <c r="T133" s="34" t="s">
        <v>494</v>
      </c>
      <c r="U133" s="34">
        <v>3</v>
      </c>
      <c r="V133" s="34">
        <v>10</v>
      </c>
      <c r="W133" s="30">
        <v>295</v>
      </c>
      <c r="X133" s="660" t="s">
        <v>30</v>
      </c>
      <c r="Y133" s="34"/>
    </row>
    <row r="134" spans="1:25" ht="28.8" x14ac:dyDescent="0.3">
      <c r="A134" s="769" t="s">
        <v>118</v>
      </c>
      <c r="B134" s="769" t="s">
        <v>119</v>
      </c>
      <c r="C134" s="769" t="s">
        <v>493</v>
      </c>
      <c r="D134" s="372" t="s">
        <v>253</v>
      </c>
      <c r="E134" s="49" t="str">
        <f>VLOOKUP(BOM!D134,'RECAP MATIERE'!$A$17:$G$75,5,FALSE)</f>
        <v>EU: Steel tinplated</v>
      </c>
      <c r="F134" s="49" t="str">
        <f>VLOOKUP(BOM!D134,'RECAP MATIERE'!$A$17:$G$75,6,FALSE)</f>
        <v>DE: Aluminium cast part machining
+ TTH compris dans le steel tinplated</v>
      </c>
      <c r="G134" s="372">
        <v>1.5198400000000001E-2</v>
      </c>
      <c r="H134" s="773">
        <f t="shared" si="16"/>
        <v>0</v>
      </c>
      <c r="I134" s="372"/>
      <c r="J134" s="786"/>
      <c r="K134" s="49" t="str">
        <f>VLOOKUP(BOM!D134,'RECAP MATIERE'!$A$17:$G$75,7,FALSE)</f>
        <v>Crédit?</v>
      </c>
      <c r="L134" s="34"/>
      <c r="M134" s="34"/>
      <c r="N134" s="34"/>
      <c r="O134" s="34"/>
      <c r="P134" s="30" t="s">
        <v>493</v>
      </c>
      <c r="Q134" s="30" t="s">
        <v>66</v>
      </c>
      <c r="R134" s="30" t="s">
        <v>446</v>
      </c>
      <c r="S134" s="34">
        <v>0</v>
      </c>
      <c r="T134" s="34" t="s">
        <v>494</v>
      </c>
      <c r="U134" s="34">
        <v>3</v>
      </c>
      <c r="V134" s="34">
        <v>10</v>
      </c>
      <c r="W134" s="30">
        <v>295</v>
      </c>
      <c r="X134" s="660" t="s">
        <v>30</v>
      </c>
      <c r="Y134" s="34"/>
    </row>
    <row r="135" spans="1:25" ht="28.8" x14ac:dyDescent="0.3">
      <c r="A135" s="769" t="s">
        <v>118</v>
      </c>
      <c r="B135" s="769" t="s">
        <v>119</v>
      </c>
      <c r="C135" s="769" t="s">
        <v>493</v>
      </c>
      <c r="D135" s="375" t="s">
        <v>259</v>
      </c>
      <c r="E135" s="49" t="str">
        <f>VLOOKUP(BOM!D135,'RECAP MATIERE'!$A$17:$G$75,5,FALSE)</f>
        <v>EU: Steel tinplated</v>
      </c>
      <c r="F135" s="49" t="str">
        <f>VLOOKUP(BOM!D135,'RECAP MATIERE'!$A$17:$G$75,6,FALSE)</f>
        <v>DE: Aluminium cast part machining
+ TTH compris dans le steel tinplated</v>
      </c>
      <c r="G135" s="375">
        <v>2.2000000000000002E-2</v>
      </c>
      <c r="H135" s="773">
        <f t="shared" si="16"/>
        <v>0</v>
      </c>
      <c r="I135" s="375"/>
      <c r="J135" s="786"/>
      <c r="K135" s="49" t="str">
        <f>VLOOKUP(BOM!D135,'RECAP MATIERE'!$A$17:$G$75,7,FALSE)</f>
        <v>Crédit?</v>
      </c>
      <c r="L135" s="34"/>
      <c r="M135" s="34"/>
      <c r="N135" s="34"/>
      <c r="O135" s="34"/>
      <c r="P135" s="30" t="s">
        <v>493</v>
      </c>
      <c r="Q135" s="30" t="s">
        <v>66</v>
      </c>
      <c r="R135" s="30" t="s">
        <v>447</v>
      </c>
      <c r="S135" s="34">
        <v>0</v>
      </c>
      <c r="T135" s="34" t="s">
        <v>494</v>
      </c>
      <c r="U135" s="34">
        <v>3</v>
      </c>
      <c r="V135" s="34">
        <v>10</v>
      </c>
      <c r="W135" s="30">
        <v>295</v>
      </c>
      <c r="X135" s="660" t="s">
        <v>30</v>
      </c>
      <c r="Y135" s="34"/>
    </row>
    <row r="136" spans="1:25" x14ac:dyDescent="0.3">
      <c r="A136" s="769" t="s">
        <v>118</v>
      </c>
      <c r="B136" s="769" t="s">
        <v>119</v>
      </c>
      <c r="C136" s="769" t="s">
        <v>493</v>
      </c>
      <c r="D136" s="796" t="s">
        <v>335</v>
      </c>
      <c r="E136" s="49" t="e">
        <f>VLOOKUP(BOM!D136,'RECAP MATIERE'!$A$17:$G$75,5,FALSE)</f>
        <v>#N/A</v>
      </c>
      <c r="F136" s="49" t="e">
        <f>VLOOKUP(BOM!D136,'RECAP MATIERE'!$A$17:$G$75,6,FALSE)</f>
        <v>#N/A</v>
      </c>
      <c r="G136" s="796">
        <v>1.161</v>
      </c>
      <c r="H136" s="773">
        <f t="shared" si="16"/>
        <v>0</v>
      </c>
      <c r="I136" s="796"/>
      <c r="J136" s="786"/>
      <c r="K136" s="49" t="e">
        <f>VLOOKUP(BOM!D136,'RECAP MATIERE'!$A$17:$G$75,7,FALSE)</f>
        <v>#N/A</v>
      </c>
      <c r="L136" s="34"/>
      <c r="M136" s="34"/>
      <c r="N136" s="34"/>
      <c r="O136" s="34"/>
      <c r="P136" s="30" t="s">
        <v>493</v>
      </c>
      <c r="Q136" s="30" t="s">
        <v>66</v>
      </c>
      <c r="R136" s="30" t="s">
        <v>448</v>
      </c>
      <c r="S136" s="34">
        <v>0</v>
      </c>
      <c r="T136" s="34" t="s">
        <v>494</v>
      </c>
      <c r="U136" s="34">
        <v>3</v>
      </c>
      <c r="V136" s="34">
        <v>10</v>
      </c>
      <c r="W136" s="30">
        <v>295</v>
      </c>
      <c r="X136" s="660" t="s">
        <v>30</v>
      </c>
      <c r="Y136" s="34"/>
    </row>
    <row r="137" spans="1:25" ht="43.2" x14ac:dyDescent="0.3">
      <c r="A137" s="769" t="s">
        <v>118</v>
      </c>
      <c r="B137" s="769" t="s">
        <v>119</v>
      </c>
      <c r="C137" s="769" t="s">
        <v>493</v>
      </c>
      <c r="D137" s="793" t="s">
        <v>262</v>
      </c>
      <c r="E137" s="49" t="str">
        <f>VLOOKUP(BOM!D137,'RECAP MATIERE'!$A$17:$G$75,5,FALSE)</f>
        <v>EU28: Polyamide 6</v>
      </c>
      <c r="F137" s="49" t="str">
        <f>VLOOKUP(BOM!D137,'RECAP MATIERE'!$A$17:$G$75,6,FALSE)</f>
        <v>GLO: plastic injection moulding</v>
      </c>
      <c r="G137" s="793">
        <v>3.0000000000000001E-3</v>
      </c>
      <c r="H137" s="773">
        <f t="shared" si="16"/>
        <v>0</v>
      </c>
      <c r="I137" s="793"/>
      <c r="J137" s="786"/>
      <c r="K137" s="49" t="str">
        <f>VLOOKUP(BOM!D137,'RECAP MATIERE'!$A$17:$G$75,7,FALSE)</f>
        <v>[Nation] Plastics in waste incineration plants</v>
      </c>
      <c r="L137" s="34"/>
      <c r="M137" s="34"/>
      <c r="N137" s="34"/>
      <c r="O137" s="34"/>
      <c r="P137" s="30" t="s">
        <v>493</v>
      </c>
      <c r="Q137" s="30" t="s">
        <v>66</v>
      </c>
      <c r="R137" s="30" t="s">
        <v>450</v>
      </c>
      <c r="S137" s="34">
        <v>0</v>
      </c>
      <c r="T137" s="34" t="s">
        <v>494</v>
      </c>
      <c r="U137" s="34">
        <v>3</v>
      </c>
      <c r="V137" s="34">
        <v>10</v>
      </c>
      <c r="W137" s="30">
        <v>295</v>
      </c>
      <c r="X137" s="660" t="s">
        <v>30</v>
      </c>
      <c r="Y137" s="34"/>
    </row>
    <row r="138" spans="1:25" ht="43.2" x14ac:dyDescent="0.3">
      <c r="A138" s="769" t="s">
        <v>118</v>
      </c>
      <c r="B138" s="769" t="s">
        <v>119</v>
      </c>
      <c r="C138" s="769" t="s">
        <v>493</v>
      </c>
      <c r="D138" s="784" t="s">
        <v>240</v>
      </c>
      <c r="E138" s="49">
        <f>VLOOKUP(BOM!D138,'RECAP MATIERE'!$A$17:$G$75,5,FALSE)</f>
        <v>0</v>
      </c>
      <c r="F138" s="49" t="str">
        <f>VLOOKUP(BOM!D138,'RECAP MATIERE'!$A$17:$G$75,6,FALSE)</f>
        <v>GLO: plastic injection moulding</v>
      </c>
      <c r="G138" s="784">
        <v>6.0000000000000001E-3</v>
      </c>
      <c r="H138" s="773">
        <f t="shared" si="16"/>
        <v>0</v>
      </c>
      <c r="I138" s="784"/>
      <c r="J138" s="786"/>
      <c r="K138" s="49" t="str">
        <f>VLOOKUP(BOM!D138,'RECAP MATIERE'!$A$17:$G$75,7,FALSE)</f>
        <v>[Nation] Plastics in waste incineration plants</v>
      </c>
      <c r="L138" s="34"/>
      <c r="M138" s="34"/>
      <c r="N138" s="34"/>
      <c r="O138" s="34"/>
      <c r="P138" s="30" t="s">
        <v>493</v>
      </c>
      <c r="Q138" s="30" t="s">
        <v>66</v>
      </c>
      <c r="R138" s="30" t="s">
        <v>451</v>
      </c>
      <c r="S138" s="34">
        <v>0</v>
      </c>
      <c r="T138" s="34" t="s">
        <v>494</v>
      </c>
      <c r="U138" s="34">
        <v>3</v>
      </c>
      <c r="V138" s="34">
        <v>10</v>
      </c>
      <c r="W138" s="30">
        <v>295</v>
      </c>
      <c r="X138" s="660" t="s">
        <v>30</v>
      </c>
      <c r="Y138" s="34"/>
    </row>
    <row r="139" spans="1:25" ht="43.2" x14ac:dyDescent="0.3">
      <c r="A139" s="769" t="s">
        <v>118</v>
      </c>
      <c r="B139" s="769" t="s">
        <v>119</v>
      </c>
      <c r="C139" s="769" t="s">
        <v>493</v>
      </c>
      <c r="D139" s="820" t="s">
        <v>249</v>
      </c>
      <c r="E139" s="49" t="str">
        <f>VLOOKUP(BOM!D139,'RECAP MATIERE'!$A$17:$G$75,5,FALSE)</f>
        <v>EU28: Polyurethane flexible foam, with flame retardant</v>
      </c>
      <c r="F139" s="49" t="str">
        <f>VLOOKUP(BOM!D139,'RECAP MATIERE'!$A$17:$G$75,6,FALSE)</f>
        <v>N/A</v>
      </c>
      <c r="G139" s="820">
        <v>1.6E-2</v>
      </c>
      <c r="H139" s="773">
        <f t="shared" si="16"/>
        <v>0</v>
      </c>
      <c r="I139" s="820"/>
      <c r="J139" s="786"/>
      <c r="K139" s="49" t="str">
        <f>VLOOKUP(BOM!D139,'RECAP MATIERE'!$A$17:$G$75,7,FALSE)</f>
        <v>[Nation] Plastics in waste incineration plants</v>
      </c>
      <c r="L139" s="34"/>
      <c r="M139" s="34"/>
      <c r="N139" s="34"/>
      <c r="O139" s="34"/>
      <c r="P139" s="30" t="s">
        <v>493</v>
      </c>
      <c r="Q139" s="30" t="s">
        <v>66</v>
      </c>
      <c r="R139" s="30" t="s">
        <v>495</v>
      </c>
      <c r="S139" s="34">
        <v>0</v>
      </c>
      <c r="T139" s="34" t="s">
        <v>494</v>
      </c>
      <c r="U139" s="34">
        <v>3</v>
      </c>
      <c r="V139" s="34">
        <v>10</v>
      </c>
      <c r="W139" s="30">
        <v>295</v>
      </c>
      <c r="X139" s="660" t="s">
        <v>30</v>
      </c>
      <c r="Y139" s="34"/>
    </row>
    <row r="140" spans="1:25" ht="28.8" x14ac:dyDescent="0.3">
      <c r="A140" s="769" t="s">
        <v>118</v>
      </c>
      <c r="B140" s="769" t="s">
        <v>119</v>
      </c>
      <c r="C140" s="769" t="s">
        <v>493</v>
      </c>
      <c r="D140" s="800" t="s">
        <v>254</v>
      </c>
      <c r="E140" s="49" t="str">
        <f>VLOOKUP(BOM!D140,'RECAP MATIERE'!$A$17:$G$75,5,FALSE)</f>
        <v>80% Polyester
20% Polyurethane</v>
      </c>
      <c r="F140" s="49" t="str">
        <f>VLOOKUP(BOM!D140,'RECAP MATIERE'!$A$17:$G$75,6,FALSE)</f>
        <v>N/A</v>
      </c>
      <c r="G140" s="800">
        <v>0.112</v>
      </c>
      <c r="H140" s="773">
        <f t="shared" si="16"/>
        <v>0</v>
      </c>
      <c r="I140" s="800"/>
      <c r="J140" s="786"/>
      <c r="K140" s="49">
        <f>VLOOKUP(BOM!D140,'RECAP MATIERE'!$A$17:$G$75,7,FALSE)</f>
        <v>0</v>
      </c>
      <c r="L140" s="34"/>
      <c r="M140" s="34"/>
      <c r="N140" s="34"/>
      <c r="O140" s="34"/>
      <c r="P140" s="30" t="s">
        <v>493</v>
      </c>
      <c r="Q140" s="30" t="s">
        <v>66</v>
      </c>
      <c r="R140" s="30" t="s">
        <v>496</v>
      </c>
      <c r="S140" s="34">
        <v>0</v>
      </c>
      <c r="T140" s="34" t="s">
        <v>494</v>
      </c>
      <c r="U140" s="34">
        <v>3</v>
      </c>
      <c r="V140" s="34">
        <v>10</v>
      </c>
      <c r="W140" s="30">
        <v>295</v>
      </c>
      <c r="X140" s="660" t="s">
        <v>30</v>
      </c>
      <c r="Y140" s="34"/>
    </row>
    <row r="141" spans="1:25" x14ac:dyDescent="0.3">
      <c r="A141" s="769" t="s">
        <v>118</v>
      </c>
      <c r="B141" s="769" t="s">
        <v>243</v>
      </c>
      <c r="C141" s="769"/>
      <c r="D141" s="35" t="s">
        <v>452</v>
      </c>
      <c r="E141" s="49" t="str">
        <f>VLOOKUP(BOM!D141,'RECAP MATIERE'!$A$17:$G$75,5,FALSE)</f>
        <v>EU28: Plywood board</v>
      </c>
      <c r="F141" s="49" t="str">
        <f>VLOOKUP(BOM!D141,'RECAP MATIERE'!$A$17:$G$75,6,FALSE)</f>
        <v>N/A</v>
      </c>
      <c r="G141" s="798">
        <f>0.95*I141/40</f>
        <v>7.9166666666666663E-2</v>
      </c>
      <c r="H141" s="773">
        <f t="shared" si="16"/>
        <v>0</v>
      </c>
      <c r="I141" s="896">
        <f t="shared" ref="I141" si="17">V140/U140</f>
        <v>3.3333333333333335</v>
      </c>
      <c r="J141" s="786"/>
      <c r="K141" s="49" t="str">
        <f>VLOOKUP(BOM!D141,'RECAP MATIERE'!$A$17:$G$75,7,FALSE)</f>
        <v>N/A</v>
      </c>
      <c r="L141" s="34"/>
      <c r="M141" s="34"/>
      <c r="N141" s="34"/>
      <c r="O141" s="34"/>
      <c r="P141" s="30"/>
      <c r="Q141" s="30"/>
      <c r="R141" s="30" t="s">
        <v>496</v>
      </c>
      <c r="S141" s="34">
        <v>0</v>
      </c>
      <c r="T141" s="34" t="s">
        <v>494</v>
      </c>
      <c r="U141" s="34"/>
      <c r="V141" s="34"/>
      <c r="W141" s="30"/>
      <c r="X141" s="660"/>
      <c r="Y141" s="34"/>
    </row>
    <row r="142" spans="1:25" x14ac:dyDescent="0.3">
      <c r="A142" s="769" t="s">
        <v>118</v>
      </c>
      <c r="B142" s="769" t="s">
        <v>243</v>
      </c>
      <c r="C142" s="769"/>
      <c r="D142" s="35" t="s">
        <v>419</v>
      </c>
      <c r="E142" s="49"/>
      <c r="F142" s="49"/>
      <c r="G142" s="798">
        <f>0.045*I142/40</f>
        <v>3.7499999999999999E-3</v>
      </c>
      <c r="H142" s="773">
        <f t="shared" si="16"/>
        <v>0</v>
      </c>
      <c r="I142" s="896">
        <f>V140/U140</f>
        <v>3.3333333333333335</v>
      </c>
      <c r="J142" s="786"/>
      <c r="K142" s="49"/>
      <c r="L142" s="34"/>
      <c r="M142" s="34"/>
      <c r="N142" s="34"/>
      <c r="O142" s="34"/>
      <c r="P142" s="30"/>
      <c r="Q142" s="30"/>
      <c r="R142" s="30" t="s">
        <v>496</v>
      </c>
      <c r="S142" s="34"/>
      <c r="T142" s="34"/>
      <c r="U142" s="34"/>
      <c r="V142" s="34"/>
      <c r="W142" s="30"/>
      <c r="X142" s="660"/>
      <c r="Y142" s="34"/>
    </row>
    <row r="143" spans="1:25" x14ac:dyDescent="0.3">
      <c r="A143" s="769" t="s">
        <v>118</v>
      </c>
      <c r="B143" s="769" t="s">
        <v>243</v>
      </c>
      <c r="C143" s="769"/>
      <c r="D143" s="897" t="s">
        <v>131</v>
      </c>
      <c r="E143" s="49" t="str">
        <f>VLOOKUP(BOM!D143,'RECAP MATIERE'!$A$17:$G$75,5,FALSE)</f>
        <v>EU28: Expanded polyethylene foam</v>
      </c>
      <c r="F143" s="49" t="str">
        <f>VLOOKUP(BOM!D143,'RECAP MATIERE'!$A$17:$G$75,6,FALSE)</f>
        <v>N/A</v>
      </c>
      <c r="G143" s="897">
        <f>0.005*I143/40</f>
        <v>4.1666666666666664E-4</v>
      </c>
      <c r="H143" s="773">
        <f t="shared" si="16"/>
        <v>0</v>
      </c>
      <c r="I143" s="896">
        <f>V140/U140</f>
        <v>3.3333333333333335</v>
      </c>
      <c r="J143" s="786"/>
      <c r="K143" s="49" t="str">
        <f>VLOOKUP(BOM!D143,'RECAP MATIERE'!$A$17:$G$75,7,FALSE)</f>
        <v>N/A</v>
      </c>
      <c r="L143" s="34"/>
      <c r="M143" s="34"/>
      <c r="N143" s="34"/>
      <c r="O143" s="34"/>
      <c r="P143" s="30"/>
      <c r="Q143" s="30"/>
      <c r="R143" s="30" t="s">
        <v>496</v>
      </c>
      <c r="S143" s="34">
        <v>0</v>
      </c>
      <c r="T143" s="34" t="s">
        <v>494</v>
      </c>
      <c r="U143" s="34"/>
      <c r="V143" s="34"/>
      <c r="W143" s="30"/>
      <c r="X143" s="660"/>
      <c r="Y143" s="34"/>
    </row>
    <row r="144" spans="1:25" ht="57.6" x14ac:dyDescent="0.3">
      <c r="A144" s="769" t="s">
        <v>122</v>
      </c>
      <c r="B144" s="769" t="s">
        <v>123</v>
      </c>
      <c r="C144" s="769" t="s">
        <v>493</v>
      </c>
      <c r="D144" s="775" t="s">
        <v>91</v>
      </c>
      <c r="E144" s="49" t="str">
        <f>VLOOKUP(BOM!D144,'RECAP MATIERE'!$A$17:$G$75,5,FALSE)</f>
        <v>EU28: AlMg4.5 sheet</v>
      </c>
      <c r="F144" s="49" t="str">
        <f>VLOOKUP(BOM!D144,'RECAP MATIERE'!$A$17:$G$75,6,FALSE)</f>
        <v>DE: Aluminium cast part machining
GLO: Steel sheet stamping and bending</v>
      </c>
      <c r="G144" s="776">
        <v>0.105</v>
      </c>
      <c r="H144" s="773">
        <f t="shared" si="16"/>
        <v>0</v>
      </c>
      <c r="I144" s="776"/>
      <c r="J144" s="786"/>
      <c r="K144" s="49" t="str">
        <f>VLOOKUP(BOM!D144,'RECAP MATIERE'!$A$17:$G$75,7,FALSE)</f>
        <v>EU28: Aluminium remelting: wrought alloy ingot from scrap</v>
      </c>
      <c r="L144" s="34"/>
      <c r="M144" s="34"/>
      <c r="N144" s="34"/>
      <c r="O144" s="34"/>
      <c r="P144" s="30" t="s">
        <v>493</v>
      </c>
      <c r="Q144" s="30" t="s">
        <v>133</v>
      </c>
      <c r="R144" s="30"/>
      <c r="S144" s="34">
        <v>0</v>
      </c>
      <c r="T144" s="34" t="s">
        <v>497</v>
      </c>
      <c r="U144" s="34">
        <v>12</v>
      </c>
      <c r="V144" s="34">
        <v>6</v>
      </c>
      <c r="W144" s="30"/>
      <c r="X144" s="660" t="s">
        <v>44</v>
      </c>
      <c r="Y144" s="34"/>
    </row>
    <row r="145" spans="1:25" x14ac:dyDescent="0.3">
      <c r="A145" s="769" t="s">
        <v>122</v>
      </c>
      <c r="B145" s="769" t="s">
        <v>123</v>
      </c>
      <c r="C145" s="769" t="s">
        <v>493</v>
      </c>
      <c r="D145" s="807" t="s">
        <v>60</v>
      </c>
      <c r="E145" s="49" t="e">
        <f>VLOOKUP(BOM!D145,'RECAP MATIERE'!$A$17:$G$75,5,FALSE)</f>
        <v>#N/A</v>
      </c>
      <c r="F145" s="49" t="e">
        <f>VLOOKUP(BOM!D145,'RECAP MATIERE'!$A$17:$G$75,6,FALSE)</f>
        <v>#N/A</v>
      </c>
      <c r="G145" s="807">
        <v>1E-3</v>
      </c>
      <c r="H145" s="773">
        <f t="shared" si="16"/>
        <v>0</v>
      </c>
      <c r="I145" s="807"/>
      <c r="J145" s="786"/>
      <c r="K145" s="49" t="e">
        <f>VLOOKUP(BOM!D145,'RECAP MATIERE'!$A$17:$G$75,7,FALSE)</f>
        <v>#N/A</v>
      </c>
      <c r="L145" s="34"/>
      <c r="M145" s="34"/>
      <c r="N145" s="34"/>
      <c r="O145" s="34"/>
      <c r="P145" s="30" t="s">
        <v>493</v>
      </c>
      <c r="Q145" s="30" t="s">
        <v>133</v>
      </c>
      <c r="R145" s="30"/>
      <c r="S145" s="34">
        <v>0</v>
      </c>
      <c r="T145" s="34" t="s">
        <v>497</v>
      </c>
      <c r="U145" s="34">
        <v>12</v>
      </c>
      <c r="V145" s="34">
        <v>6</v>
      </c>
      <c r="W145" s="30"/>
      <c r="X145" s="660" t="s">
        <v>44</v>
      </c>
      <c r="Y145" s="34"/>
    </row>
    <row r="146" spans="1:25" ht="43.2" x14ac:dyDescent="0.3">
      <c r="A146" s="769" t="s">
        <v>122</v>
      </c>
      <c r="B146" s="769" t="s">
        <v>123</v>
      </c>
      <c r="C146" s="769" t="s">
        <v>493</v>
      </c>
      <c r="D146" s="820" t="s">
        <v>249</v>
      </c>
      <c r="E146" s="49" t="str">
        <f>VLOOKUP(BOM!D146,'RECAP MATIERE'!$A$17:$G$75,5,FALSE)</f>
        <v>EU28: Polyurethane flexible foam, with flame retardant</v>
      </c>
      <c r="F146" s="49" t="str">
        <f>VLOOKUP(BOM!D146,'RECAP MATIERE'!$A$17:$G$75,6,FALSE)</f>
        <v>N/A</v>
      </c>
      <c r="G146" s="820">
        <v>3.9E-2</v>
      </c>
      <c r="H146" s="773">
        <f t="shared" si="16"/>
        <v>0</v>
      </c>
      <c r="I146" s="820"/>
      <c r="J146" s="786"/>
      <c r="K146" s="49" t="str">
        <f>VLOOKUP(BOM!D146,'RECAP MATIERE'!$A$17:$G$75,7,FALSE)</f>
        <v>[Nation] Plastics in waste incineration plants</v>
      </c>
      <c r="L146" s="34"/>
      <c r="M146" s="34"/>
      <c r="N146" s="34"/>
      <c r="O146" s="34"/>
      <c r="P146" s="30" t="s">
        <v>493</v>
      </c>
      <c r="Q146" s="30" t="s">
        <v>130</v>
      </c>
      <c r="R146" s="30"/>
      <c r="S146" s="34">
        <v>0</v>
      </c>
      <c r="T146" s="34" t="s">
        <v>497</v>
      </c>
      <c r="U146" s="34">
        <v>12</v>
      </c>
      <c r="V146" s="34">
        <v>6</v>
      </c>
      <c r="W146" s="30"/>
      <c r="X146" s="660" t="s">
        <v>498</v>
      </c>
      <c r="Y146" s="34"/>
    </row>
    <row r="147" spans="1:25" x14ac:dyDescent="0.3">
      <c r="A147" s="769" t="s">
        <v>122</v>
      </c>
      <c r="B147" s="769" t="s">
        <v>123</v>
      </c>
      <c r="C147" s="769" t="s">
        <v>493</v>
      </c>
      <c r="D147" s="821" t="s">
        <v>246</v>
      </c>
      <c r="E147" s="49">
        <f>VLOOKUP(BOM!D147,'RECAP MATIERE'!$A$17:$G$75,5,FALSE)</f>
        <v>0</v>
      </c>
      <c r="F147" s="49" t="str">
        <f>VLOOKUP(BOM!D147,'RECAP MATIERE'!$A$17:$G$75,6,FALSE)</f>
        <v>N/A</v>
      </c>
      <c r="G147" s="821">
        <v>3.9E-2</v>
      </c>
      <c r="H147" s="773">
        <f t="shared" si="16"/>
        <v>0</v>
      </c>
      <c r="I147" s="821"/>
      <c r="J147" s="786"/>
      <c r="K147" s="49">
        <f>VLOOKUP(BOM!D147,'RECAP MATIERE'!$A$17:$G$75,7,FALSE)</f>
        <v>0</v>
      </c>
      <c r="L147" s="34"/>
      <c r="M147" s="34"/>
      <c r="N147" s="34"/>
      <c r="O147" s="34"/>
      <c r="P147" s="30" t="s">
        <v>493</v>
      </c>
      <c r="Q147" s="30" t="s">
        <v>127</v>
      </c>
      <c r="R147" s="30"/>
      <c r="S147" s="34">
        <v>0</v>
      </c>
      <c r="T147" s="34" t="s">
        <v>497</v>
      </c>
      <c r="U147" s="34">
        <v>12</v>
      </c>
      <c r="V147" s="34">
        <v>6</v>
      </c>
      <c r="W147" s="30">
        <v>295</v>
      </c>
      <c r="X147" s="660" t="s">
        <v>30</v>
      </c>
      <c r="Y147" s="34"/>
    </row>
    <row r="148" spans="1:25" x14ac:dyDescent="0.3">
      <c r="A148" s="769" t="s">
        <v>122</v>
      </c>
      <c r="B148" s="769" t="s">
        <v>243</v>
      </c>
      <c r="C148" s="769"/>
      <c r="D148" s="35" t="s">
        <v>452</v>
      </c>
      <c r="E148" s="49" t="str">
        <f>VLOOKUP(BOM!D148,'RECAP MATIERE'!$A$17:$G$75,5,FALSE)</f>
        <v>EU28: Plywood board</v>
      </c>
      <c r="F148" s="49" t="str">
        <f>VLOOKUP(BOM!D148,'RECAP MATIERE'!$A$17:$G$75,6,FALSE)</f>
        <v>N/A</v>
      </c>
      <c r="G148" s="821">
        <f>I148*0.9/40</f>
        <v>1.125E-2</v>
      </c>
      <c r="H148" s="773">
        <f t="shared" si="16"/>
        <v>0</v>
      </c>
      <c r="I148" s="896">
        <f>V147/U147</f>
        <v>0.5</v>
      </c>
      <c r="J148" s="786"/>
      <c r="K148" s="49" t="str">
        <f>VLOOKUP(BOM!D148,'RECAP MATIERE'!$A$17:$G$75,7,FALSE)</f>
        <v>N/A</v>
      </c>
      <c r="L148" s="34"/>
      <c r="M148" s="34"/>
      <c r="N148" s="34"/>
      <c r="O148" s="34"/>
      <c r="P148" s="30"/>
      <c r="Q148" s="30"/>
      <c r="R148" s="30"/>
      <c r="S148" s="34">
        <v>0</v>
      </c>
      <c r="T148" s="34" t="s">
        <v>497</v>
      </c>
      <c r="U148" s="34"/>
      <c r="V148" s="34"/>
      <c r="W148" s="30"/>
      <c r="X148" s="660"/>
      <c r="Y148" s="34"/>
    </row>
    <row r="149" spans="1:25" x14ac:dyDescent="0.3">
      <c r="A149" s="769" t="s">
        <v>122</v>
      </c>
      <c r="B149" s="769" t="s">
        <v>243</v>
      </c>
      <c r="C149" s="769"/>
      <c r="D149" s="35" t="s">
        <v>419</v>
      </c>
      <c r="E149" s="49"/>
      <c r="F149" s="49"/>
      <c r="G149" s="821">
        <f>I149*0.1/40</f>
        <v>1.25E-3</v>
      </c>
      <c r="H149" s="773">
        <f t="shared" si="16"/>
        <v>0</v>
      </c>
      <c r="I149" s="896">
        <f>V147/U147</f>
        <v>0.5</v>
      </c>
      <c r="J149" s="786"/>
      <c r="K149" s="49"/>
      <c r="L149" s="34"/>
      <c r="M149" s="34"/>
      <c r="N149" s="34"/>
      <c r="O149" s="34"/>
      <c r="P149" s="30"/>
      <c r="Q149" s="30"/>
      <c r="R149" s="30"/>
      <c r="S149" s="34"/>
      <c r="T149" s="34" t="s">
        <v>497</v>
      </c>
      <c r="U149" s="34"/>
      <c r="V149" s="34"/>
      <c r="W149" s="30"/>
      <c r="X149" s="660"/>
      <c r="Y149" s="34"/>
    </row>
    <row r="150" spans="1:25" ht="57.6" x14ac:dyDescent="0.3">
      <c r="A150" s="769" t="s">
        <v>135</v>
      </c>
      <c r="B150" s="769" t="s">
        <v>136</v>
      </c>
      <c r="C150" s="769" t="s">
        <v>493</v>
      </c>
      <c r="D150" s="775" t="s">
        <v>91</v>
      </c>
      <c r="E150" s="49" t="str">
        <f>VLOOKUP(BOM!D150,'RECAP MATIERE'!$A$17:$G$75,5,FALSE)</f>
        <v>EU28: AlMg4.5 sheet</v>
      </c>
      <c r="F150" s="49" t="str">
        <f>VLOOKUP(BOM!D150,'RECAP MATIERE'!$A$17:$G$75,6,FALSE)</f>
        <v>DE: Aluminium cast part machining
GLO: Steel sheet stamping and bending</v>
      </c>
      <c r="G150" s="776">
        <v>0.17</v>
      </c>
      <c r="H150" s="773">
        <f t="shared" si="16"/>
        <v>0</v>
      </c>
      <c r="I150" s="776"/>
      <c r="J150" s="786"/>
      <c r="K150" s="49" t="str">
        <f>VLOOKUP(BOM!D150,'RECAP MATIERE'!$A$17:$G$75,7,FALSE)</f>
        <v>EU28: Aluminium remelting: wrought alloy ingot from scrap</v>
      </c>
      <c r="L150" s="34"/>
      <c r="M150" s="34"/>
      <c r="N150" s="34"/>
      <c r="O150" s="34"/>
      <c r="P150" s="30" t="s">
        <v>493</v>
      </c>
      <c r="Q150" s="30" t="s">
        <v>133</v>
      </c>
      <c r="R150" s="30"/>
      <c r="S150" s="34">
        <v>0</v>
      </c>
      <c r="T150" s="34" t="s">
        <v>497</v>
      </c>
      <c r="U150" s="34">
        <v>12</v>
      </c>
      <c r="V150" s="34">
        <v>6</v>
      </c>
      <c r="W150" s="30"/>
      <c r="X150" s="660" t="s">
        <v>44</v>
      </c>
      <c r="Y150" s="34"/>
    </row>
    <row r="151" spans="1:25" ht="28.8" x14ac:dyDescent="0.3">
      <c r="A151" s="769" t="s">
        <v>135</v>
      </c>
      <c r="B151" s="769" t="s">
        <v>136</v>
      </c>
      <c r="C151" s="769" t="s">
        <v>493</v>
      </c>
      <c r="D151" s="372" t="s">
        <v>253</v>
      </c>
      <c r="E151" s="49" t="str">
        <f>VLOOKUP(BOM!D151,'RECAP MATIERE'!$A$17:$G$75,5,FALSE)</f>
        <v>EU: Steel tinplated</v>
      </c>
      <c r="F151" s="49" t="str">
        <f>VLOOKUP(BOM!D151,'RECAP MATIERE'!$A$17:$G$75,6,FALSE)</f>
        <v>DE: Aluminium cast part machining
+ TTH compris dans le steel tinplated</v>
      </c>
      <c r="G151" s="372">
        <v>1.91495E-2</v>
      </c>
      <c r="H151" s="773">
        <f t="shared" si="16"/>
        <v>0</v>
      </c>
      <c r="I151" s="372"/>
      <c r="J151" s="786"/>
      <c r="K151" s="49" t="str">
        <f>VLOOKUP(BOM!D151,'RECAP MATIERE'!$A$17:$G$75,7,FALSE)</f>
        <v>Crédit?</v>
      </c>
      <c r="L151" s="34"/>
      <c r="M151" s="34"/>
      <c r="N151" s="34"/>
      <c r="O151" s="34"/>
      <c r="P151" s="30" t="s">
        <v>493</v>
      </c>
      <c r="Q151" s="30" t="s">
        <v>133</v>
      </c>
      <c r="R151" s="30"/>
      <c r="S151" s="34">
        <v>0</v>
      </c>
      <c r="T151" s="34" t="s">
        <v>497</v>
      </c>
      <c r="U151" s="34">
        <v>12</v>
      </c>
      <c r="V151" s="34">
        <v>6</v>
      </c>
      <c r="W151" s="30"/>
      <c r="X151" s="660" t="s">
        <v>44</v>
      </c>
      <c r="Y151" s="34"/>
    </row>
    <row r="152" spans="1:25" ht="43.2" x14ac:dyDescent="0.3">
      <c r="A152" s="769" t="s">
        <v>135</v>
      </c>
      <c r="B152" s="769" t="s">
        <v>136</v>
      </c>
      <c r="C152" s="769" t="s">
        <v>493</v>
      </c>
      <c r="D152" s="820" t="s">
        <v>249</v>
      </c>
      <c r="E152" s="49" t="str">
        <f>VLOOKUP(BOM!D152,'RECAP MATIERE'!$A$17:$G$75,5,FALSE)</f>
        <v>EU28: Polyurethane flexible foam, with flame retardant</v>
      </c>
      <c r="F152" s="49" t="str">
        <f>VLOOKUP(BOM!D152,'RECAP MATIERE'!$A$17:$G$75,6,FALSE)</f>
        <v>N/A</v>
      </c>
      <c r="G152" s="820">
        <v>3.9E-2</v>
      </c>
      <c r="H152" s="773">
        <f t="shared" si="16"/>
        <v>0</v>
      </c>
      <c r="I152" s="820"/>
      <c r="J152" s="786"/>
      <c r="K152" s="49" t="str">
        <f>VLOOKUP(BOM!D152,'RECAP MATIERE'!$A$17:$G$75,7,FALSE)</f>
        <v>[Nation] Plastics in waste incineration plants</v>
      </c>
      <c r="L152" s="34"/>
      <c r="M152" s="34"/>
      <c r="N152" s="34"/>
      <c r="O152" s="34"/>
      <c r="P152" s="30" t="s">
        <v>493</v>
      </c>
      <c r="Q152" s="30" t="s">
        <v>130</v>
      </c>
      <c r="R152" s="30"/>
      <c r="S152" s="34">
        <v>0</v>
      </c>
      <c r="T152" s="34" t="s">
        <v>497</v>
      </c>
      <c r="U152" s="34">
        <v>12</v>
      </c>
      <c r="V152" s="34">
        <v>6</v>
      </c>
      <c r="W152" s="30"/>
      <c r="X152" s="660" t="s">
        <v>498</v>
      </c>
      <c r="Y152" s="34"/>
    </row>
    <row r="153" spans="1:25" x14ac:dyDescent="0.3">
      <c r="A153" s="769" t="s">
        <v>135</v>
      </c>
      <c r="B153" s="769" t="s">
        <v>136</v>
      </c>
      <c r="C153" s="769" t="s">
        <v>493</v>
      </c>
      <c r="D153" s="821" t="s">
        <v>246</v>
      </c>
      <c r="E153" s="49">
        <f>VLOOKUP(BOM!D153,'RECAP MATIERE'!$A$17:$G$75,5,FALSE)</f>
        <v>0</v>
      </c>
      <c r="F153" s="49" t="str">
        <f>VLOOKUP(BOM!D153,'RECAP MATIERE'!$A$17:$G$75,6,FALSE)</f>
        <v>N/A</v>
      </c>
      <c r="G153" s="821">
        <v>0.06</v>
      </c>
      <c r="H153" s="773">
        <f t="shared" si="16"/>
        <v>0</v>
      </c>
      <c r="I153" s="821"/>
      <c r="J153" s="786"/>
      <c r="K153" s="49">
        <f>VLOOKUP(BOM!D153,'RECAP MATIERE'!$A$17:$G$75,7,FALSE)</f>
        <v>0</v>
      </c>
      <c r="L153" s="34"/>
      <c r="M153" s="34"/>
      <c r="N153" s="34"/>
      <c r="O153" s="34"/>
      <c r="P153" s="30" t="s">
        <v>493</v>
      </c>
      <c r="Q153" s="30" t="s">
        <v>127</v>
      </c>
      <c r="R153" s="30"/>
      <c r="S153" s="34">
        <v>0</v>
      </c>
      <c r="T153" s="34" t="s">
        <v>497</v>
      </c>
      <c r="U153" s="34">
        <v>12</v>
      </c>
      <c r="V153" s="34">
        <v>6</v>
      </c>
      <c r="W153" s="30">
        <v>295</v>
      </c>
      <c r="X153" s="660" t="s">
        <v>30</v>
      </c>
      <c r="Y153" s="34"/>
    </row>
    <row r="154" spans="1:25" ht="43.2" x14ac:dyDescent="0.3">
      <c r="A154" s="769" t="s">
        <v>135</v>
      </c>
      <c r="B154" s="769" t="s">
        <v>136</v>
      </c>
      <c r="C154" s="769" t="s">
        <v>493</v>
      </c>
      <c r="D154" s="770" t="s">
        <v>247</v>
      </c>
      <c r="E154" s="49" t="str">
        <f>VLOOKUP(BOM!D154,'RECAP MATIERE'!$A$17:$G$75,5,FALSE)</f>
        <v>EU28: Polyurethane flexible foam, with flame retardant
EU28: PA6.6 fibres</v>
      </c>
      <c r="F154" s="49" t="str">
        <f>VLOOKUP(BOM!D154,'RECAP MATIERE'!$A$17:$G$75,6,FALSE)</f>
        <v>N/A</v>
      </c>
      <c r="G154" s="770">
        <v>6.0000000000000001E-3</v>
      </c>
      <c r="H154" s="773">
        <f t="shared" si="16"/>
        <v>0</v>
      </c>
      <c r="I154" s="770"/>
      <c r="J154" s="786"/>
      <c r="K154" s="49" t="str">
        <f>VLOOKUP(BOM!D154,'RECAP MATIERE'!$A$17:$G$75,7,FALSE)</f>
        <v>[Nation] Plastics in waste incineration plants</v>
      </c>
      <c r="L154" s="34"/>
      <c r="M154" s="34"/>
      <c r="N154" s="34"/>
      <c r="O154" s="34"/>
      <c r="P154" s="30" t="s">
        <v>493</v>
      </c>
      <c r="Q154" s="30" t="s">
        <v>127</v>
      </c>
      <c r="R154" s="30"/>
      <c r="S154" s="34">
        <v>0</v>
      </c>
      <c r="T154" s="34" t="s">
        <v>497</v>
      </c>
      <c r="U154" s="34">
        <v>12</v>
      </c>
      <c r="V154" s="34">
        <v>6</v>
      </c>
      <c r="W154" s="30">
        <v>295</v>
      </c>
      <c r="X154" s="660" t="s">
        <v>30</v>
      </c>
      <c r="Y154" s="34"/>
    </row>
    <row r="155" spans="1:25" x14ac:dyDescent="0.3">
      <c r="A155" s="769" t="s">
        <v>135</v>
      </c>
      <c r="B155" s="769" t="s">
        <v>243</v>
      </c>
      <c r="C155" s="769"/>
      <c r="D155" s="35" t="s">
        <v>452</v>
      </c>
      <c r="E155" s="49" t="str">
        <f>VLOOKUP(BOM!D155,'RECAP MATIERE'!$A$17:$G$75,5,FALSE)</f>
        <v>EU28: Plywood board</v>
      </c>
      <c r="F155" s="49" t="str">
        <f>VLOOKUP(BOM!D155,'RECAP MATIERE'!$A$17:$G$75,6,FALSE)</f>
        <v>N/A</v>
      </c>
      <c r="G155" s="821">
        <f>I155*0.9/40</f>
        <v>1.125E-2</v>
      </c>
      <c r="H155" s="773">
        <f t="shared" si="16"/>
        <v>0</v>
      </c>
      <c r="I155" s="896">
        <f>V154/U154</f>
        <v>0.5</v>
      </c>
      <c r="J155" s="786"/>
      <c r="K155" s="49" t="str">
        <f>VLOOKUP(BOM!D155,'RECAP MATIERE'!$A$17:$G$75,7,FALSE)</f>
        <v>N/A</v>
      </c>
      <c r="L155" s="34"/>
      <c r="M155" s="34"/>
      <c r="N155" s="34"/>
      <c r="O155" s="34"/>
      <c r="P155" s="30"/>
      <c r="Q155" s="30"/>
      <c r="R155" s="30"/>
      <c r="S155" s="34">
        <v>0</v>
      </c>
      <c r="T155" s="34" t="s">
        <v>497</v>
      </c>
      <c r="U155" s="34"/>
      <c r="V155" s="34"/>
      <c r="W155" s="30"/>
      <c r="X155" s="660"/>
      <c r="Y155" s="34"/>
    </row>
    <row r="156" spans="1:25" x14ac:dyDescent="0.3">
      <c r="A156" s="769" t="s">
        <v>135</v>
      </c>
      <c r="B156" s="769" t="s">
        <v>243</v>
      </c>
      <c r="C156" s="769"/>
      <c r="D156" s="35" t="s">
        <v>419</v>
      </c>
      <c r="E156" s="49"/>
      <c r="F156" s="49"/>
      <c r="G156" s="821">
        <f>I156*0.1/40</f>
        <v>1.25E-3</v>
      </c>
      <c r="H156" s="773">
        <f t="shared" si="16"/>
        <v>0</v>
      </c>
      <c r="I156" s="896">
        <f>V154/U154</f>
        <v>0.5</v>
      </c>
      <c r="J156" s="786"/>
      <c r="K156" s="49"/>
      <c r="L156" s="34"/>
      <c r="M156" s="34"/>
      <c r="N156" s="34"/>
      <c r="O156" s="34"/>
      <c r="P156" s="30"/>
      <c r="Q156" s="30"/>
      <c r="R156" s="30"/>
      <c r="S156" s="34"/>
      <c r="T156" s="34"/>
      <c r="U156" s="34"/>
      <c r="V156" s="34"/>
      <c r="W156" s="30"/>
      <c r="X156" s="660"/>
      <c r="Y156" s="34"/>
    </row>
    <row r="157" spans="1:25" ht="57.6" x14ac:dyDescent="0.3">
      <c r="A157" s="769" t="s">
        <v>137</v>
      </c>
      <c r="B157" s="769" t="s">
        <v>138</v>
      </c>
      <c r="C157" s="769" t="s">
        <v>90</v>
      </c>
      <c r="D157" s="775" t="s">
        <v>91</v>
      </c>
      <c r="E157" s="49" t="str">
        <f>VLOOKUP(BOM!D157,'RECAP MATIERE'!$A$17:$G$75,5,FALSE)</f>
        <v>EU28: AlMg4.5 sheet</v>
      </c>
      <c r="F157" s="49" t="str">
        <f>VLOOKUP(BOM!D157,'RECAP MATIERE'!$A$17:$G$75,6,FALSE)</f>
        <v>DE: Aluminium cast part machining
GLO: Steel sheet stamping and bending</v>
      </c>
      <c r="G157" s="775">
        <v>0.11700000000000001</v>
      </c>
      <c r="H157" s="773">
        <f t="shared" si="16"/>
        <v>0</v>
      </c>
      <c r="I157" s="775"/>
      <c r="J157" s="786"/>
      <c r="K157" s="49" t="str">
        <f>VLOOKUP(BOM!D157,'RECAP MATIERE'!$A$17:$G$75,7,FALSE)</f>
        <v>EU28: Aluminium remelting: wrought alloy ingot from scrap</v>
      </c>
      <c r="L157" s="34"/>
      <c r="M157" s="34"/>
      <c r="N157" s="34"/>
      <c r="O157" s="34"/>
      <c r="P157" s="30" t="s">
        <v>483</v>
      </c>
      <c r="Q157" s="30" t="s">
        <v>93</v>
      </c>
      <c r="R157" s="30" t="s">
        <v>466</v>
      </c>
      <c r="S157" s="34" t="s">
        <v>492</v>
      </c>
      <c r="T157" s="34">
        <v>0</v>
      </c>
      <c r="U157" s="34">
        <v>12</v>
      </c>
      <c r="V157" s="34">
        <v>1.5</v>
      </c>
      <c r="W157" s="30">
        <v>240</v>
      </c>
      <c r="X157" s="660" t="s">
        <v>30</v>
      </c>
      <c r="Y157" s="34"/>
    </row>
    <row r="158" spans="1:25" ht="28.8" x14ac:dyDescent="0.3">
      <c r="A158" s="769" t="s">
        <v>137</v>
      </c>
      <c r="B158" s="769" t="s">
        <v>138</v>
      </c>
      <c r="C158" s="769" t="s">
        <v>90</v>
      </c>
      <c r="D158" s="372" t="s">
        <v>253</v>
      </c>
      <c r="E158" s="49" t="str">
        <f>VLOOKUP(BOM!D158,'RECAP MATIERE'!$A$17:$G$75,5,FALSE)</f>
        <v>EU: Steel tinplated</v>
      </c>
      <c r="F158" s="49" t="str">
        <f>VLOOKUP(BOM!D158,'RECAP MATIERE'!$A$17:$G$75,6,FALSE)</f>
        <v>DE: Aluminium cast part machining
+ TTH compris dans le steel tinplated</v>
      </c>
      <c r="G158" s="372">
        <v>6.0000000000000001E-3</v>
      </c>
      <c r="H158" s="773">
        <f t="shared" si="16"/>
        <v>0</v>
      </c>
      <c r="I158" s="372"/>
      <c r="J158" s="786"/>
      <c r="K158" s="49" t="str">
        <f>VLOOKUP(BOM!D158,'RECAP MATIERE'!$A$17:$G$75,7,FALSE)</f>
        <v>Crédit?</v>
      </c>
      <c r="L158" s="34"/>
      <c r="M158" s="34"/>
      <c r="N158" s="34"/>
      <c r="O158" s="34"/>
      <c r="P158" s="30" t="s">
        <v>483</v>
      </c>
      <c r="Q158" s="30" t="s">
        <v>93</v>
      </c>
      <c r="R158" s="30" t="s">
        <v>469</v>
      </c>
      <c r="S158" s="34" t="s">
        <v>492</v>
      </c>
      <c r="T158" s="34">
        <v>0</v>
      </c>
      <c r="U158" s="34">
        <v>12</v>
      </c>
      <c r="V158" s="34">
        <v>1.5</v>
      </c>
      <c r="W158" s="30">
        <v>240</v>
      </c>
      <c r="X158" s="660" t="s">
        <v>30</v>
      </c>
      <c r="Y158" s="34"/>
    </row>
    <row r="159" spans="1:25" ht="28.8" x14ac:dyDescent="0.3">
      <c r="A159" s="769" t="s">
        <v>137</v>
      </c>
      <c r="B159" s="769" t="s">
        <v>243</v>
      </c>
      <c r="C159" s="769"/>
      <c r="D159" s="896" t="s">
        <v>419</v>
      </c>
      <c r="E159" s="49" t="str">
        <f>VLOOKUP(BOM!D159,'RECAP MATIERE'!$A$17:$G$75,5,FALSE)</f>
        <v>EU28: Carton from folding boxboard</v>
      </c>
      <c r="F159" s="49" t="str">
        <f>VLOOKUP(BOM!D159,'RECAP MATIERE'!$A$17:$G$75,6,FALSE)</f>
        <v>N/A</v>
      </c>
      <c r="G159" s="896">
        <f>0.9*I159</f>
        <v>0.1125</v>
      </c>
      <c r="H159" s="773">
        <f t="shared" si="16"/>
        <v>0</v>
      </c>
      <c r="I159" s="896">
        <f t="shared" ref="I159" si="18">V158/U158</f>
        <v>0.125</v>
      </c>
      <c r="J159" s="786"/>
      <c r="K159" s="49" t="str">
        <f>VLOOKUP(BOM!D159,'RECAP MATIERE'!$A$17:$G$75,7,FALSE)</f>
        <v>N/A</v>
      </c>
      <c r="L159" s="34"/>
      <c r="M159" s="34"/>
      <c r="N159" s="34"/>
      <c r="O159" s="34"/>
      <c r="P159" s="30"/>
      <c r="Q159" s="30"/>
      <c r="R159" s="30" t="s">
        <v>469</v>
      </c>
      <c r="S159" s="34" t="s">
        <v>492</v>
      </c>
      <c r="T159" s="34">
        <v>0</v>
      </c>
      <c r="U159" s="34"/>
      <c r="V159" s="34"/>
      <c r="W159" s="30"/>
      <c r="X159" s="660"/>
      <c r="Y159" s="34"/>
    </row>
    <row r="160" spans="1:25" ht="28.8" x14ac:dyDescent="0.3">
      <c r="A160" s="769" t="s">
        <v>137</v>
      </c>
      <c r="B160" s="769" t="s">
        <v>243</v>
      </c>
      <c r="C160" s="769"/>
      <c r="D160" s="900" t="s">
        <v>442</v>
      </c>
      <c r="E160" s="49" t="str">
        <f>VLOOKUP(BOM!D160,'RECAP MATIERE'!$A$17:$G$75,5,FALSE)</f>
        <v>EU25: Graphic paper</v>
      </c>
      <c r="F160" s="49" t="str">
        <f>VLOOKUP(BOM!D160,'RECAP MATIERE'!$A$17:$G$75,6,FALSE)</f>
        <v>N/A</v>
      </c>
      <c r="G160" s="901">
        <f>0.1*I160</f>
        <v>1.2500000000000001E-2</v>
      </c>
      <c r="H160" s="773">
        <f t="shared" si="16"/>
        <v>0</v>
      </c>
      <c r="I160" s="896">
        <f>V158/U158</f>
        <v>0.125</v>
      </c>
      <c r="J160" s="786"/>
      <c r="K160" s="49" t="str">
        <f>VLOOKUP(BOM!D160,'RECAP MATIERE'!$A$17:$G$75,7,FALSE)</f>
        <v>N/A</v>
      </c>
      <c r="L160" s="34"/>
      <c r="M160" s="34"/>
      <c r="N160" s="34"/>
      <c r="O160" s="34"/>
      <c r="P160" s="30"/>
      <c r="Q160" s="30"/>
      <c r="R160" s="30" t="s">
        <v>469</v>
      </c>
      <c r="S160" s="34" t="s">
        <v>492</v>
      </c>
      <c r="T160" s="34">
        <v>0</v>
      </c>
      <c r="U160" s="34"/>
      <c r="V160" s="34"/>
      <c r="W160" s="30"/>
      <c r="X160" s="660"/>
      <c r="Y160" s="34"/>
    </row>
    <row r="161" spans="1:25" ht="57.6" x14ac:dyDescent="0.3">
      <c r="A161" s="769" t="s">
        <v>140</v>
      </c>
      <c r="B161" s="769" t="s">
        <v>141</v>
      </c>
      <c r="C161" s="769" t="s">
        <v>90</v>
      </c>
      <c r="D161" s="775" t="s">
        <v>91</v>
      </c>
      <c r="E161" s="49" t="str">
        <f>VLOOKUP(BOM!D161,'RECAP MATIERE'!$A$17:$G$75,5,FALSE)</f>
        <v>EU28: AlMg4.5 sheet</v>
      </c>
      <c r="F161" s="49" t="str">
        <f>VLOOKUP(BOM!D161,'RECAP MATIERE'!$A$17:$G$75,6,FALSE)</f>
        <v>DE: Aluminium cast part machining
GLO: Steel sheet stamping and bending</v>
      </c>
      <c r="G161" s="775">
        <v>0.01</v>
      </c>
      <c r="H161" s="773">
        <f t="shared" si="16"/>
        <v>0</v>
      </c>
      <c r="I161" s="775"/>
      <c r="J161" s="786"/>
      <c r="K161" s="49" t="str">
        <f>VLOOKUP(BOM!D161,'RECAP MATIERE'!$A$17:$G$75,7,FALSE)</f>
        <v>EU28: Aluminium remelting: wrought alloy ingot from scrap</v>
      </c>
      <c r="L161" s="34"/>
      <c r="M161" s="34"/>
      <c r="N161" s="34"/>
      <c r="O161" s="34"/>
      <c r="P161" s="30" t="s">
        <v>483</v>
      </c>
      <c r="Q161" s="30" t="s">
        <v>93</v>
      </c>
      <c r="R161" s="30" t="s">
        <v>466</v>
      </c>
      <c r="S161" s="34" t="s">
        <v>492</v>
      </c>
      <c r="T161" s="34">
        <v>0</v>
      </c>
      <c r="U161" s="34">
        <v>12</v>
      </c>
      <c r="V161" s="34">
        <v>1.5</v>
      </c>
      <c r="W161" s="30">
        <v>240</v>
      </c>
      <c r="X161" s="660" t="s">
        <v>30</v>
      </c>
      <c r="Y161" s="34"/>
    </row>
    <row r="162" spans="1:25" x14ac:dyDescent="0.3">
      <c r="A162" s="769" t="s">
        <v>140</v>
      </c>
      <c r="B162" s="769" t="s">
        <v>243</v>
      </c>
      <c r="C162" s="769"/>
      <c r="D162" s="896" t="s">
        <v>419</v>
      </c>
      <c r="E162" s="49" t="str">
        <f>VLOOKUP(BOM!D162,'RECAP MATIERE'!$A$17:$G$75,5,FALSE)</f>
        <v>EU28: Carton from folding boxboard</v>
      </c>
      <c r="F162" s="49" t="str">
        <f>VLOOKUP(BOM!D162,'RECAP MATIERE'!$A$17:$G$75,6,FALSE)</f>
        <v>N/A</v>
      </c>
      <c r="G162" s="896">
        <f>0.9*I162</f>
        <v>0.1125</v>
      </c>
      <c r="H162" s="773">
        <f t="shared" si="16"/>
        <v>0</v>
      </c>
      <c r="I162" s="896">
        <f t="shared" ref="I162" si="19">V161/U161</f>
        <v>0.125</v>
      </c>
      <c r="J162" s="786"/>
      <c r="K162" s="49" t="str">
        <f>VLOOKUP(BOM!D162,'RECAP MATIERE'!$A$17:$G$75,7,FALSE)</f>
        <v>N/A</v>
      </c>
      <c r="L162" s="34"/>
      <c r="M162" s="34"/>
      <c r="N162" s="34"/>
      <c r="O162" s="34"/>
      <c r="P162" s="30"/>
      <c r="Q162" s="30"/>
      <c r="R162" s="30" t="s">
        <v>466</v>
      </c>
      <c r="S162" s="34" t="s">
        <v>492</v>
      </c>
      <c r="T162" s="34">
        <v>0</v>
      </c>
      <c r="U162" s="34"/>
      <c r="V162" s="34"/>
      <c r="W162" s="30"/>
      <c r="X162" s="660"/>
      <c r="Y162" s="34"/>
    </row>
    <row r="163" spans="1:25" x14ac:dyDescent="0.3">
      <c r="A163" s="769" t="s">
        <v>140</v>
      </c>
      <c r="B163" s="769" t="s">
        <v>243</v>
      </c>
      <c r="C163" s="769"/>
      <c r="D163" s="900" t="s">
        <v>442</v>
      </c>
      <c r="E163" s="49" t="str">
        <f>VLOOKUP(BOM!D163,'RECAP MATIERE'!$A$17:$G$75,5,FALSE)</f>
        <v>EU25: Graphic paper</v>
      </c>
      <c r="F163" s="49" t="str">
        <f>VLOOKUP(BOM!D163,'RECAP MATIERE'!$A$17:$G$75,6,FALSE)</f>
        <v>N/A</v>
      </c>
      <c r="G163" s="901">
        <f>0.1*I163</f>
        <v>1.2500000000000001E-2</v>
      </c>
      <c r="H163" s="773">
        <f t="shared" si="16"/>
        <v>0</v>
      </c>
      <c r="I163" s="896">
        <f>V161/U161</f>
        <v>0.125</v>
      </c>
      <c r="J163" s="786"/>
      <c r="K163" s="49" t="str">
        <f>VLOOKUP(BOM!D163,'RECAP MATIERE'!$A$17:$G$75,7,FALSE)</f>
        <v>N/A</v>
      </c>
      <c r="L163" s="34"/>
      <c r="M163" s="34"/>
      <c r="N163" s="34"/>
      <c r="O163" s="34"/>
      <c r="P163" s="30"/>
      <c r="Q163" s="30"/>
      <c r="R163" s="30" t="s">
        <v>466</v>
      </c>
      <c r="S163" s="34" t="s">
        <v>492</v>
      </c>
      <c r="T163" s="34">
        <v>0</v>
      </c>
      <c r="U163" s="34"/>
      <c r="V163" s="34"/>
      <c r="W163" s="30"/>
      <c r="X163" s="660"/>
      <c r="Y163" s="34"/>
    </row>
    <row r="164" spans="1:25" ht="43.95" customHeight="1" x14ac:dyDescent="0.3">
      <c r="A164" s="769" t="s">
        <v>142</v>
      </c>
      <c r="B164" s="769" t="s">
        <v>143</v>
      </c>
      <c r="C164" s="769" t="s">
        <v>90</v>
      </c>
      <c r="D164" s="796" t="s">
        <v>335</v>
      </c>
      <c r="E164" s="49" t="e">
        <f>VLOOKUP(BOM!D164,'RECAP MATIERE'!$A$17:$G$75,5,FALSE)</f>
        <v>#N/A</v>
      </c>
      <c r="F164" s="49" t="e">
        <f>VLOOKUP(BOM!D164,'RECAP MATIERE'!$A$17:$G$75,6,FALSE)</f>
        <v>#N/A</v>
      </c>
      <c r="G164" s="796">
        <v>6.9000000000000006E-2</v>
      </c>
      <c r="H164" s="773">
        <f t="shared" si="16"/>
        <v>0</v>
      </c>
      <c r="I164" s="796"/>
      <c r="J164" s="786"/>
      <c r="K164" s="49" t="e">
        <f>VLOOKUP(BOM!D164,'RECAP MATIERE'!$A$17:$G$75,7,FALSE)</f>
        <v>#N/A</v>
      </c>
      <c r="L164" s="34"/>
      <c r="M164" s="34"/>
      <c r="N164" s="34"/>
      <c r="O164" s="34"/>
      <c r="P164" s="30" t="s">
        <v>483</v>
      </c>
      <c r="Q164" s="30" t="s">
        <v>93</v>
      </c>
      <c r="R164" s="30" t="s">
        <v>466</v>
      </c>
      <c r="S164" s="34" t="s">
        <v>492</v>
      </c>
      <c r="T164" s="34">
        <v>0</v>
      </c>
      <c r="U164" s="34">
        <v>12</v>
      </c>
      <c r="V164" s="34">
        <v>1.5</v>
      </c>
      <c r="W164" s="30">
        <v>240</v>
      </c>
      <c r="X164" s="660" t="s">
        <v>30</v>
      </c>
      <c r="Y164" s="34"/>
    </row>
    <row r="165" spans="1:25" ht="43.95" customHeight="1" x14ac:dyDescent="0.3">
      <c r="A165" s="769" t="s">
        <v>142</v>
      </c>
      <c r="B165" s="769" t="s">
        <v>243</v>
      </c>
      <c r="C165" s="769"/>
      <c r="D165" s="896" t="s">
        <v>419</v>
      </c>
      <c r="E165" s="49" t="str">
        <f>VLOOKUP(BOM!D165,'RECAP MATIERE'!$A$17:$G$75,5,FALSE)</f>
        <v>EU28: Carton from folding boxboard</v>
      </c>
      <c r="F165" s="49" t="str">
        <f>VLOOKUP(BOM!D165,'RECAP MATIERE'!$A$17:$G$75,6,FALSE)</f>
        <v>N/A</v>
      </c>
      <c r="G165" s="896">
        <f>0.9*I165</f>
        <v>0.1125</v>
      </c>
      <c r="H165" s="773">
        <f t="shared" si="16"/>
        <v>0</v>
      </c>
      <c r="I165" s="896">
        <f t="shared" ref="I165" si="20">V164/U164</f>
        <v>0.125</v>
      </c>
      <c r="J165" s="786"/>
      <c r="K165" s="49" t="str">
        <f>VLOOKUP(BOM!D165,'RECAP MATIERE'!$A$17:$G$75,7,FALSE)</f>
        <v>N/A</v>
      </c>
      <c r="L165" s="34"/>
      <c r="M165" s="34"/>
      <c r="N165" s="34"/>
      <c r="O165" s="34"/>
      <c r="P165" s="30"/>
      <c r="Q165" s="30"/>
      <c r="R165" s="30" t="s">
        <v>466</v>
      </c>
      <c r="S165" s="34" t="s">
        <v>492</v>
      </c>
      <c r="T165" s="34">
        <v>0</v>
      </c>
      <c r="U165" s="34"/>
      <c r="V165" s="34"/>
      <c r="W165" s="30"/>
      <c r="X165" s="660"/>
      <c r="Y165" s="34"/>
    </row>
    <row r="166" spans="1:25" ht="43.95" customHeight="1" x14ac:dyDescent="0.3">
      <c r="A166" s="769" t="s">
        <v>142</v>
      </c>
      <c r="B166" s="769" t="s">
        <v>243</v>
      </c>
      <c r="C166" s="769"/>
      <c r="D166" s="900" t="s">
        <v>442</v>
      </c>
      <c r="E166" s="49" t="str">
        <f>VLOOKUP(BOM!D166,'RECAP MATIERE'!$A$17:$G$75,5,FALSE)</f>
        <v>EU25: Graphic paper</v>
      </c>
      <c r="F166" s="49" t="str">
        <f>VLOOKUP(BOM!D166,'RECAP MATIERE'!$A$17:$G$75,6,FALSE)</f>
        <v>N/A</v>
      </c>
      <c r="G166" s="901">
        <f>0.1*I166</f>
        <v>1.2500000000000001E-2</v>
      </c>
      <c r="H166" s="773">
        <f t="shared" si="16"/>
        <v>0</v>
      </c>
      <c r="I166" s="896">
        <f>V164/U164</f>
        <v>0.125</v>
      </c>
      <c r="J166" s="786"/>
      <c r="K166" s="49" t="str">
        <f>VLOOKUP(BOM!D166,'RECAP MATIERE'!$A$17:$G$75,7,FALSE)</f>
        <v>N/A</v>
      </c>
      <c r="L166" s="34"/>
      <c r="M166" s="34"/>
      <c r="N166" s="34"/>
      <c r="O166" s="34"/>
      <c r="P166" s="30"/>
      <c r="Q166" s="30"/>
      <c r="R166" s="30" t="s">
        <v>466</v>
      </c>
      <c r="S166" s="34" t="s">
        <v>492</v>
      </c>
      <c r="T166" s="34">
        <v>0</v>
      </c>
      <c r="U166" s="34"/>
      <c r="V166" s="34"/>
      <c r="W166" s="30"/>
      <c r="X166" s="660"/>
      <c r="Y166" s="34"/>
    </row>
    <row r="167" spans="1:25" ht="28.8" x14ac:dyDescent="0.3">
      <c r="A167" s="769" t="s">
        <v>144</v>
      </c>
      <c r="B167" s="769" t="s">
        <v>145</v>
      </c>
      <c r="C167" s="769" t="s">
        <v>90</v>
      </c>
      <c r="D167" s="807" t="s">
        <v>60</v>
      </c>
      <c r="E167" s="49" t="e">
        <f>VLOOKUP(BOM!D167,'RECAP MATIERE'!$A$17:$G$75,5,FALSE)</f>
        <v>#N/A</v>
      </c>
      <c r="F167" s="49" t="e">
        <f>VLOOKUP(BOM!D167,'RECAP MATIERE'!$A$17:$G$75,6,FALSE)</f>
        <v>#N/A</v>
      </c>
      <c r="G167" s="807">
        <v>3.541011699999999</v>
      </c>
      <c r="H167" s="773">
        <f t="shared" si="16"/>
        <v>4.9788030917830639</v>
      </c>
      <c r="I167" s="807"/>
      <c r="J167" s="822">
        <v>15.082000000000001</v>
      </c>
      <c r="K167" s="49" t="e">
        <f>VLOOKUP(BOM!D167,'RECAP MATIERE'!$A$17:$G$75,7,FALSE)</f>
        <v>#N/A</v>
      </c>
      <c r="L167" s="822">
        <v>17.63</v>
      </c>
      <c r="M167" s="822" t="s">
        <v>413</v>
      </c>
      <c r="N167" s="822">
        <v>0.14799999999999999</v>
      </c>
      <c r="O167" s="822" t="s">
        <v>51</v>
      </c>
      <c r="P167" s="30" t="s">
        <v>483</v>
      </c>
      <c r="Q167" s="30" t="s">
        <v>66</v>
      </c>
      <c r="R167" s="30" t="s">
        <v>443</v>
      </c>
      <c r="S167" s="34" t="s">
        <v>499</v>
      </c>
      <c r="T167" s="34">
        <v>0</v>
      </c>
      <c r="U167" s="34">
        <v>4</v>
      </c>
      <c r="V167" s="34">
        <v>20</v>
      </c>
      <c r="W167" s="30">
        <v>295</v>
      </c>
      <c r="X167" s="660" t="s">
        <v>30</v>
      </c>
      <c r="Y167" s="34"/>
    </row>
    <row r="168" spans="1:25" ht="28.8" x14ac:dyDescent="0.3">
      <c r="A168" s="769" t="s">
        <v>144</v>
      </c>
      <c r="B168" s="769" t="s">
        <v>145</v>
      </c>
      <c r="C168" s="769" t="s">
        <v>90</v>
      </c>
      <c r="D168" s="371" t="s">
        <v>244</v>
      </c>
      <c r="E168" s="49" t="str">
        <f>VLOOKUP(BOM!D168,'RECAP MATIERE'!$A$17:$G$75,5,FALSE)</f>
        <v>EU28: Stainless steel cold rolled coil 304 (18,5% Cr, 9% Ni)</v>
      </c>
      <c r="F168" s="49" t="str">
        <f>VLOOKUP(BOM!D168,'RECAP MATIERE'!$A$17:$G$75,6,FALSE)</f>
        <v>DE: Aluminium cast part machining
+ TTH compris dans le steel tinplated</v>
      </c>
      <c r="G168" s="371">
        <v>2.7E-2</v>
      </c>
      <c r="H168" s="773">
        <f t="shared" si="16"/>
        <v>0</v>
      </c>
      <c r="I168" s="371"/>
      <c r="J168" s="786"/>
      <c r="K168" s="49" t="str">
        <f>VLOOKUP(BOM!D168,'RECAP MATIERE'!$A$17:$G$75,7,FALSE)</f>
        <v>Crédit?</v>
      </c>
      <c r="L168" s="34"/>
      <c r="M168" s="34"/>
      <c r="N168" s="34"/>
      <c r="O168" s="34"/>
      <c r="P168" s="30" t="s">
        <v>483</v>
      </c>
      <c r="Q168" s="30" t="s">
        <v>66</v>
      </c>
      <c r="R168" s="30" t="s">
        <v>445</v>
      </c>
      <c r="S168" s="34" t="s">
        <v>499</v>
      </c>
      <c r="T168" s="34">
        <v>0</v>
      </c>
      <c r="U168" s="34">
        <v>4</v>
      </c>
      <c r="V168" s="34">
        <v>20</v>
      </c>
      <c r="W168" s="30">
        <v>295</v>
      </c>
      <c r="X168" s="660" t="s">
        <v>30</v>
      </c>
      <c r="Y168" s="34"/>
    </row>
    <row r="169" spans="1:25" ht="28.8" x14ac:dyDescent="0.3">
      <c r="A169" s="769" t="s">
        <v>144</v>
      </c>
      <c r="B169" s="769" t="s">
        <v>145</v>
      </c>
      <c r="C169" s="769" t="s">
        <v>90</v>
      </c>
      <c r="D169" s="372" t="s">
        <v>253</v>
      </c>
      <c r="E169" s="49" t="str">
        <f>VLOOKUP(BOM!D169,'RECAP MATIERE'!$A$17:$G$75,5,FALSE)</f>
        <v>EU: Steel tinplated</v>
      </c>
      <c r="F169" s="49" t="str">
        <f>VLOOKUP(BOM!D169,'RECAP MATIERE'!$A$17:$G$75,6,FALSE)</f>
        <v>DE: Aluminium cast part machining
+ TTH compris dans le steel tinplated</v>
      </c>
      <c r="G169" s="372">
        <v>1.4326470999999981</v>
      </c>
      <c r="H169" s="773">
        <f t="shared" si="16"/>
        <v>0</v>
      </c>
      <c r="I169" s="372"/>
      <c r="J169" s="786"/>
      <c r="K169" s="49" t="str">
        <f>VLOOKUP(BOM!D169,'RECAP MATIERE'!$A$17:$G$75,7,FALSE)</f>
        <v>Crédit?</v>
      </c>
      <c r="L169" s="34"/>
      <c r="M169" s="34"/>
      <c r="N169" s="34"/>
      <c r="O169" s="34"/>
      <c r="P169" s="30" t="s">
        <v>483</v>
      </c>
      <c r="Q169" s="30" t="s">
        <v>66</v>
      </c>
      <c r="R169" s="30" t="s">
        <v>446</v>
      </c>
      <c r="S169" s="34" t="s">
        <v>499</v>
      </c>
      <c r="T169" s="34">
        <v>0</v>
      </c>
      <c r="U169" s="34">
        <v>4</v>
      </c>
      <c r="V169" s="34">
        <v>20</v>
      </c>
      <c r="W169" s="30">
        <v>295</v>
      </c>
      <c r="X169" s="660" t="s">
        <v>30</v>
      </c>
      <c r="Y169" s="34"/>
    </row>
    <row r="170" spans="1:25" ht="28.8" x14ac:dyDescent="0.3">
      <c r="A170" s="769" t="s">
        <v>144</v>
      </c>
      <c r="B170" s="769" t="s">
        <v>145</v>
      </c>
      <c r="C170" s="769" t="s">
        <v>90</v>
      </c>
      <c r="D170" s="375" t="s">
        <v>270</v>
      </c>
      <c r="E170" s="49" t="str">
        <f>VLOOKUP(BOM!D170,'RECAP MATIERE'!$A$17:$G$75,5,FALSE)</f>
        <v>EU: Steel tinplated</v>
      </c>
      <c r="F170" s="49" t="str">
        <f>VLOOKUP(BOM!D170,'RECAP MATIERE'!$A$17:$G$75,6,FALSE)</f>
        <v>DE: Aluminium cast part machining
+ TTH compris dans le steel tinplated</v>
      </c>
      <c r="G170" s="375">
        <v>2.9000000000000001E-2</v>
      </c>
      <c r="H170" s="773">
        <f t="shared" si="16"/>
        <v>0</v>
      </c>
      <c r="I170" s="375"/>
      <c r="J170" s="786"/>
      <c r="K170" s="49" t="str">
        <f>VLOOKUP(BOM!D170,'RECAP MATIERE'!$A$17:$G$75,7,FALSE)</f>
        <v>Crédit?</v>
      </c>
      <c r="L170" s="34"/>
      <c r="M170" s="34"/>
      <c r="N170" s="34"/>
      <c r="O170" s="34"/>
      <c r="P170" s="30" t="s">
        <v>483</v>
      </c>
      <c r="Q170" s="30" t="s">
        <v>66</v>
      </c>
      <c r="R170" s="30" t="s">
        <v>447</v>
      </c>
      <c r="S170" s="34" t="s">
        <v>499</v>
      </c>
      <c r="T170" s="34">
        <v>0</v>
      </c>
      <c r="U170" s="34">
        <v>4</v>
      </c>
      <c r="V170" s="34">
        <v>20</v>
      </c>
      <c r="W170" s="30">
        <v>295</v>
      </c>
      <c r="X170" s="660" t="s">
        <v>30</v>
      </c>
      <c r="Y170" s="34"/>
    </row>
    <row r="171" spans="1:25" ht="43.2" x14ac:dyDescent="0.3">
      <c r="A171" s="769" t="s">
        <v>144</v>
      </c>
      <c r="B171" s="769" t="s">
        <v>145</v>
      </c>
      <c r="C171" s="769" t="s">
        <v>90</v>
      </c>
      <c r="D171" s="780" t="s">
        <v>248</v>
      </c>
      <c r="E171" s="49" t="str">
        <f>VLOOKUP(BOM!D171,'RECAP MATIERE'!$A$17:$G$75,5,FALSE)</f>
        <v>EU28: Polyamide 6.6</v>
      </c>
      <c r="F171" s="49" t="str">
        <f>VLOOKUP(BOM!D171,'RECAP MATIERE'!$A$17:$G$75,6,FALSE)</f>
        <v>GLO: plastic injection moulding</v>
      </c>
      <c r="G171" s="780">
        <v>1.45416E-2</v>
      </c>
      <c r="H171" s="773">
        <f t="shared" si="16"/>
        <v>0</v>
      </c>
      <c r="I171" s="780"/>
      <c r="J171" s="786"/>
      <c r="K171" s="49" t="str">
        <f>VLOOKUP(BOM!D171,'RECAP MATIERE'!$A$17:$G$75,7,FALSE)</f>
        <v>[Nation] Plastics in waste incineration plants</v>
      </c>
      <c r="L171" s="34"/>
      <c r="M171" s="34"/>
      <c r="N171" s="34"/>
      <c r="O171" s="34"/>
      <c r="P171" s="30" t="s">
        <v>483</v>
      </c>
      <c r="Q171" s="30" t="s">
        <v>66</v>
      </c>
      <c r="R171" s="30" t="s">
        <v>448</v>
      </c>
      <c r="S171" s="34" t="s">
        <v>499</v>
      </c>
      <c r="T171" s="34">
        <v>0</v>
      </c>
      <c r="U171" s="34">
        <v>4</v>
      </c>
      <c r="V171" s="34">
        <v>20</v>
      </c>
      <c r="W171" s="30">
        <v>295</v>
      </c>
      <c r="X171" s="660" t="s">
        <v>30</v>
      </c>
      <c r="Y171" s="34"/>
    </row>
    <row r="172" spans="1:25" ht="43.2" x14ac:dyDescent="0.3">
      <c r="A172" s="769" t="s">
        <v>144</v>
      </c>
      <c r="B172" s="769" t="s">
        <v>145</v>
      </c>
      <c r="C172" s="769" t="s">
        <v>90</v>
      </c>
      <c r="D172" s="784" t="s">
        <v>240</v>
      </c>
      <c r="E172" s="49">
        <f>VLOOKUP(BOM!D172,'RECAP MATIERE'!$A$17:$G$75,5,FALSE)</f>
        <v>0</v>
      </c>
      <c r="F172" s="49" t="str">
        <f>VLOOKUP(BOM!D172,'RECAP MATIERE'!$A$17:$G$75,6,FALSE)</f>
        <v>GLO: plastic injection moulding</v>
      </c>
      <c r="G172" s="823">
        <v>1.0098020000000001E-2</v>
      </c>
      <c r="H172" s="773">
        <f t="shared" si="16"/>
        <v>0</v>
      </c>
      <c r="I172" s="823"/>
      <c r="J172" s="786"/>
      <c r="K172" s="49" t="str">
        <f>VLOOKUP(BOM!D172,'RECAP MATIERE'!$A$17:$G$75,7,FALSE)</f>
        <v>[Nation] Plastics in waste incineration plants</v>
      </c>
      <c r="L172" s="34"/>
      <c r="M172" s="34"/>
      <c r="N172" s="34"/>
      <c r="O172" s="34"/>
      <c r="P172" s="30" t="s">
        <v>483</v>
      </c>
      <c r="Q172" s="30" t="s">
        <v>66</v>
      </c>
      <c r="R172" s="30" t="s">
        <v>450</v>
      </c>
      <c r="S172" s="34" t="s">
        <v>499</v>
      </c>
      <c r="T172" s="34">
        <v>0</v>
      </c>
      <c r="U172" s="34">
        <v>4</v>
      </c>
      <c r="V172" s="34">
        <v>20</v>
      </c>
      <c r="W172" s="30">
        <v>295</v>
      </c>
      <c r="X172" s="660" t="s">
        <v>30</v>
      </c>
      <c r="Y172" s="34"/>
    </row>
    <row r="173" spans="1:25" ht="43.2" x14ac:dyDescent="0.3">
      <c r="A173" s="769" t="s">
        <v>144</v>
      </c>
      <c r="B173" s="769" t="s">
        <v>145</v>
      </c>
      <c r="C173" s="769" t="s">
        <v>90</v>
      </c>
      <c r="D173" s="824" t="s">
        <v>279</v>
      </c>
      <c r="E173" s="49" t="str">
        <f>VLOOKUP(BOM!D173,'RECAP MATIERE'!$A$17:$G$75,5,FALSE)</f>
        <v>EU28: Polyamide 6.6</v>
      </c>
      <c r="F173" s="49" t="str">
        <f>VLOOKUP(BOM!D173,'RECAP MATIERE'!$A$17:$G$75,6,FALSE)</f>
        <v>GLO: plastic injection moulding</v>
      </c>
      <c r="G173" s="825">
        <v>2E-3</v>
      </c>
      <c r="H173" s="773">
        <f t="shared" si="16"/>
        <v>0</v>
      </c>
      <c r="I173" s="825"/>
      <c r="J173" s="786"/>
      <c r="K173" s="49" t="str">
        <f>VLOOKUP(BOM!D173,'RECAP MATIERE'!$A$17:$G$75,7,FALSE)</f>
        <v>[Nation] Plastics in waste incineration plants</v>
      </c>
      <c r="L173" s="34"/>
      <c r="M173" s="34"/>
      <c r="N173" s="34"/>
      <c r="O173" s="34"/>
      <c r="P173" s="30" t="s">
        <v>483</v>
      </c>
      <c r="Q173" s="30" t="s">
        <v>66</v>
      </c>
      <c r="R173" s="30" t="s">
        <v>451</v>
      </c>
      <c r="S173" s="34" t="s">
        <v>499</v>
      </c>
      <c r="T173" s="34">
        <v>0</v>
      </c>
      <c r="U173" s="34">
        <v>4</v>
      </c>
      <c r="V173" s="34">
        <v>20</v>
      </c>
      <c r="W173" s="30">
        <v>295</v>
      </c>
      <c r="X173" s="660" t="s">
        <v>30</v>
      </c>
      <c r="Y173" s="34"/>
    </row>
    <row r="174" spans="1:25" ht="43.2" x14ac:dyDescent="0.3">
      <c r="A174" s="769" t="s">
        <v>144</v>
      </c>
      <c r="B174" s="769" t="s">
        <v>145</v>
      </c>
      <c r="C174" s="769" t="s">
        <v>90</v>
      </c>
      <c r="D174" s="826" t="s">
        <v>277</v>
      </c>
      <c r="E174" s="49" t="str">
        <f>VLOOKUP(BOM!D174,'RECAP MATIERE'!$A$17:$G$75,5,FALSE)</f>
        <v>DE: Chloroprene rubber</v>
      </c>
      <c r="F174" s="49" t="str">
        <f>VLOOKUP(BOM!D174,'RECAP MATIERE'!$A$17:$G$75,6,FALSE)</f>
        <v>N/A</v>
      </c>
      <c r="G174" s="826">
        <v>0.01</v>
      </c>
      <c r="H174" s="773">
        <f t="shared" si="16"/>
        <v>0</v>
      </c>
      <c r="I174" s="826"/>
      <c r="J174" s="786"/>
      <c r="K174" s="49" t="str">
        <f>VLOOKUP(BOM!D174,'RECAP MATIERE'!$A$17:$G$75,7,FALSE)</f>
        <v>[Nation] Plastics in waste incineration plants</v>
      </c>
      <c r="L174" s="34"/>
      <c r="M174" s="34"/>
      <c r="N174" s="34"/>
      <c r="O174" s="34"/>
      <c r="P174" s="30" t="s">
        <v>483</v>
      </c>
      <c r="Q174" s="30" t="s">
        <v>66</v>
      </c>
      <c r="R174" s="30" t="s">
        <v>495</v>
      </c>
      <c r="S174" s="34" t="s">
        <v>499</v>
      </c>
      <c r="T174" s="34">
        <v>0</v>
      </c>
      <c r="U174" s="34">
        <v>4</v>
      </c>
      <c r="V174" s="34">
        <v>20</v>
      </c>
      <c r="W174" s="30">
        <v>295</v>
      </c>
      <c r="X174" s="660" t="s">
        <v>30</v>
      </c>
      <c r="Y174" s="34"/>
    </row>
    <row r="175" spans="1:25" x14ac:dyDescent="0.3">
      <c r="A175" s="769" t="s">
        <v>144</v>
      </c>
      <c r="B175" s="769" t="s">
        <v>243</v>
      </c>
      <c r="C175" s="769"/>
      <c r="D175" s="896" t="s">
        <v>419</v>
      </c>
      <c r="E175" s="49" t="str">
        <f>VLOOKUP(BOM!D175,'RECAP MATIERE'!$A$17:$G$75,5,FALSE)</f>
        <v>EU28: Carton from folding boxboard</v>
      </c>
      <c r="F175" s="49" t="str">
        <f>VLOOKUP(BOM!D175,'RECAP MATIERE'!$A$17:$G$75,6,FALSE)</f>
        <v>N/A</v>
      </c>
      <c r="G175" s="896">
        <f>0.1*I175</f>
        <v>0.5</v>
      </c>
      <c r="H175" s="773">
        <f t="shared" si="16"/>
        <v>0</v>
      </c>
      <c r="I175" s="896">
        <f t="shared" ref="I175" si="21">V174/U174</f>
        <v>5</v>
      </c>
      <c r="J175" s="786"/>
      <c r="K175" s="49" t="str">
        <f>VLOOKUP(BOM!D175,'RECAP MATIERE'!$A$17:$G$75,7,FALSE)</f>
        <v>N/A</v>
      </c>
      <c r="L175" s="34"/>
      <c r="M175" s="34"/>
      <c r="N175" s="34"/>
      <c r="O175" s="34"/>
      <c r="P175" s="30"/>
      <c r="Q175" s="30"/>
      <c r="R175" s="30" t="s">
        <v>495</v>
      </c>
      <c r="S175" s="34" t="s">
        <v>499</v>
      </c>
      <c r="T175" s="34">
        <v>0</v>
      </c>
      <c r="U175" s="34"/>
      <c r="V175" s="34"/>
      <c r="W175" s="30"/>
      <c r="X175" s="660"/>
      <c r="Y175" s="34"/>
    </row>
    <row r="176" spans="1:25" x14ac:dyDescent="0.3">
      <c r="A176" s="769" t="s">
        <v>144</v>
      </c>
      <c r="B176" s="769" t="s">
        <v>243</v>
      </c>
      <c r="C176" s="769"/>
      <c r="D176" s="898" t="s">
        <v>432</v>
      </c>
      <c r="E176" s="49" t="str">
        <f>VLOOKUP(BOM!D176,'RECAP MATIERE'!$A$17:$G$75,5,FALSE)</f>
        <v>Flat pallet</v>
      </c>
      <c r="F176" s="49" t="str">
        <f>VLOOKUP(BOM!D176,'RECAP MATIERE'!$A$17:$G$75,6,FALSE)</f>
        <v>N/A</v>
      </c>
      <c r="G176" s="898">
        <f>0.89*I176</f>
        <v>4.45</v>
      </c>
      <c r="H176" s="773">
        <f t="shared" si="16"/>
        <v>0</v>
      </c>
      <c r="I176" s="896">
        <f>V174/U174</f>
        <v>5</v>
      </c>
      <c r="J176" s="786"/>
      <c r="K176" s="49" t="str">
        <f>VLOOKUP(BOM!D176,'RECAP MATIERE'!$A$17:$G$75,7,FALSE)</f>
        <v>N/A</v>
      </c>
      <c r="L176" s="34"/>
      <c r="M176" s="34"/>
      <c r="N176" s="34"/>
      <c r="O176" s="34"/>
      <c r="P176" s="30"/>
      <c r="Q176" s="30"/>
      <c r="R176" s="30" t="s">
        <v>495</v>
      </c>
      <c r="S176" s="34" t="s">
        <v>499</v>
      </c>
      <c r="T176" s="34">
        <v>0</v>
      </c>
      <c r="U176" s="34"/>
      <c r="V176" s="34"/>
      <c r="W176" s="30"/>
      <c r="X176" s="660"/>
      <c r="Y176" s="34"/>
    </row>
    <row r="177" spans="1:25" x14ac:dyDescent="0.3">
      <c r="A177" s="769" t="s">
        <v>144</v>
      </c>
      <c r="B177" s="769" t="s">
        <v>243</v>
      </c>
      <c r="C177" s="769"/>
      <c r="D177" s="902" t="s">
        <v>500</v>
      </c>
      <c r="E177" s="49" t="str">
        <f>VLOOKUP(BOM!D177,'RECAP MATIERE'!$A$17:$G$75,5,FALSE)</f>
        <v>EU25: Graphic paper</v>
      </c>
      <c r="F177" s="49" t="str">
        <f>VLOOKUP(BOM!D177,'RECAP MATIERE'!$A$17:$G$75,6,FALSE)</f>
        <v>N/A</v>
      </c>
      <c r="G177" s="902">
        <f>0.01*I177</f>
        <v>0.05</v>
      </c>
      <c r="H177" s="773">
        <f t="shared" si="16"/>
        <v>0</v>
      </c>
      <c r="I177" s="896">
        <f>V174/U174</f>
        <v>5</v>
      </c>
      <c r="J177" s="786"/>
      <c r="K177" s="49" t="str">
        <f>VLOOKUP(BOM!D177,'RECAP MATIERE'!$A$17:$G$75,7,FALSE)</f>
        <v>N/A</v>
      </c>
      <c r="L177" s="34"/>
      <c r="M177" s="34"/>
      <c r="N177" s="34"/>
      <c r="O177" s="34"/>
      <c r="P177" s="30"/>
      <c r="Q177" s="30"/>
      <c r="R177" s="30" t="s">
        <v>495</v>
      </c>
      <c r="S177" s="34" t="s">
        <v>499</v>
      </c>
      <c r="T177" s="34">
        <v>0</v>
      </c>
      <c r="U177" s="34"/>
      <c r="V177" s="34"/>
      <c r="W177" s="30"/>
      <c r="X177" s="660"/>
      <c r="Y177" s="34"/>
    </row>
    <row r="178" spans="1:25" ht="28.8" x14ac:dyDescent="0.3">
      <c r="A178" s="769" t="s">
        <v>501</v>
      </c>
      <c r="B178" s="769" t="s">
        <v>148</v>
      </c>
      <c r="C178" s="769" t="s">
        <v>90</v>
      </c>
      <c r="D178" s="807" t="s">
        <v>60</v>
      </c>
      <c r="E178" s="49" t="e">
        <f>VLOOKUP(BOM!D178,'RECAP MATIERE'!$A$17:$G$75,5,FALSE)</f>
        <v>#N/A</v>
      </c>
      <c r="F178" s="49" t="e">
        <f>VLOOKUP(BOM!D178,'RECAP MATIERE'!$A$17:$G$75,6,FALSE)</f>
        <v>#N/A</v>
      </c>
      <c r="G178" s="807">
        <v>6.8720000000000017</v>
      </c>
      <c r="H178" s="773">
        <f t="shared" si="16"/>
        <v>0</v>
      </c>
      <c r="I178" s="807"/>
      <c r="J178" s="786"/>
      <c r="K178" s="49" t="e">
        <f>VLOOKUP(BOM!D178,'RECAP MATIERE'!$A$17:$G$75,7,FALSE)</f>
        <v>#N/A</v>
      </c>
      <c r="L178" s="34"/>
      <c r="M178" s="34"/>
      <c r="N178" s="34"/>
      <c r="O178" s="822" t="s">
        <v>51</v>
      </c>
      <c r="P178" s="32" t="s">
        <v>502</v>
      </c>
      <c r="Q178" s="30" t="s">
        <v>66</v>
      </c>
      <c r="R178" s="30" t="s">
        <v>443</v>
      </c>
      <c r="S178" s="34">
        <v>0</v>
      </c>
      <c r="T178" s="34" t="s">
        <v>503</v>
      </c>
      <c r="U178" s="34">
        <v>4</v>
      </c>
      <c r="V178" s="34">
        <v>70</v>
      </c>
      <c r="W178" s="30">
        <v>295</v>
      </c>
      <c r="X178" s="660" t="s">
        <v>30</v>
      </c>
      <c r="Y178" s="34"/>
    </row>
    <row r="179" spans="1:25" ht="28.8" x14ac:dyDescent="0.3">
      <c r="A179" s="769" t="s">
        <v>501</v>
      </c>
      <c r="B179" s="769" t="s">
        <v>148</v>
      </c>
      <c r="C179" s="769" t="s">
        <v>90</v>
      </c>
      <c r="D179" s="371" t="s">
        <v>244</v>
      </c>
      <c r="E179" s="49" t="str">
        <f>VLOOKUP(BOM!D179,'RECAP MATIERE'!$A$17:$G$75,5,FALSE)</f>
        <v>EU28: Stainless steel cold rolled coil 304 (18,5% Cr, 9% Ni)</v>
      </c>
      <c r="F179" s="49" t="str">
        <f>VLOOKUP(BOM!D179,'RECAP MATIERE'!$A$17:$G$75,6,FALSE)</f>
        <v>DE: Aluminium cast part machining
+ TTH compris dans le steel tinplated</v>
      </c>
      <c r="G179" s="371">
        <v>4.7591999999999999E-3</v>
      </c>
      <c r="H179" s="773">
        <f t="shared" si="16"/>
        <v>0</v>
      </c>
      <c r="I179" s="371"/>
      <c r="J179" s="786"/>
      <c r="K179" s="49" t="str">
        <f>VLOOKUP(BOM!D179,'RECAP MATIERE'!$A$17:$G$75,7,FALSE)</f>
        <v>Crédit?</v>
      </c>
      <c r="L179" s="34"/>
      <c r="M179" s="34"/>
      <c r="N179" s="34"/>
      <c r="O179" s="34"/>
      <c r="P179" s="32" t="s">
        <v>502</v>
      </c>
      <c r="Q179" s="30" t="s">
        <v>66</v>
      </c>
      <c r="R179" s="30" t="s">
        <v>445</v>
      </c>
      <c r="S179" s="34">
        <v>0</v>
      </c>
      <c r="T179" s="34" t="s">
        <v>503</v>
      </c>
      <c r="U179" s="34">
        <v>4</v>
      </c>
      <c r="V179" s="34">
        <v>70</v>
      </c>
      <c r="W179" s="30">
        <v>295</v>
      </c>
      <c r="X179" s="660" t="s">
        <v>30</v>
      </c>
      <c r="Y179" s="34"/>
    </row>
    <row r="180" spans="1:25" ht="28.8" x14ac:dyDescent="0.3">
      <c r="A180" s="769" t="s">
        <v>501</v>
      </c>
      <c r="B180" s="769" t="s">
        <v>148</v>
      </c>
      <c r="C180" s="769" t="s">
        <v>90</v>
      </c>
      <c r="D180" s="372" t="s">
        <v>253</v>
      </c>
      <c r="E180" s="49" t="str">
        <f>VLOOKUP(BOM!D180,'RECAP MATIERE'!$A$17:$G$75,5,FALSE)</f>
        <v>EU: Steel tinplated</v>
      </c>
      <c r="F180" s="49" t="str">
        <f>VLOOKUP(BOM!D180,'RECAP MATIERE'!$A$17:$G$75,6,FALSE)</f>
        <v>DE: Aluminium cast part machining
+ TTH compris dans le steel tinplated</v>
      </c>
      <c r="G180" s="372">
        <v>4.3076099999999999E-2</v>
      </c>
      <c r="H180" s="773">
        <f t="shared" si="16"/>
        <v>0</v>
      </c>
      <c r="I180" s="372"/>
      <c r="J180" s="786"/>
      <c r="K180" s="49" t="str">
        <f>VLOOKUP(BOM!D180,'RECAP MATIERE'!$A$17:$G$75,7,FALSE)</f>
        <v>Crédit?</v>
      </c>
      <c r="L180" s="34"/>
      <c r="M180" s="34"/>
      <c r="N180" s="34"/>
      <c r="O180" s="34"/>
      <c r="P180" s="32" t="s">
        <v>502</v>
      </c>
      <c r="Q180" s="30" t="s">
        <v>66</v>
      </c>
      <c r="R180" s="30" t="s">
        <v>446</v>
      </c>
      <c r="S180" s="34">
        <v>0</v>
      </c>
      <c r="T180" s="34" t="s">
        <v>503</v>
      </c>
      <c r="U180" s="34">
        <v>4</v>
      </c>
      <c r="V180" s="34">
        <v>70</v>
      </c>
      <c r="W180" s="30">
        <v>295</v>
      </c>
      <c r="X180" s="660" t="s">
        <v>30</v>
      </c>
      <c r="Y180" s="34"/>
    </row>
    <row r="181" spans="1:25" ht="43.2" x14ac:dyDescent="0.3">
      <c r="A181" s="769" t="s">
        <v>501</v>
      </c>
      <c r="B181" s="769" t="s">
        <v>148</v>
      </c>
      <c r="C181" s="769" t="s">
        <v>90</v>
      </c>
      <c r="D181" s="780" t="s">
        <v>248</v>
      </c>
      <c r="E181" s="49" t="str">
        <f>VLOOKUP(BOM!D181,'RECAP MATIERE'!$A$17:$G$75,5,FALSE)</f>
        <v>EU28: Polyamide 6.6</v>
      </c>
      <c r="F181" s="49" t="str">
        <f>VLOOKUP(BOM!D181,'RECAP MATIERE'!$A$17:$G$75,6,FALSE)</f>
        <v>GLO: plastic injection moulding</v>
      </c>
      <c r="G181" s="780">
        <v>4.0030000000000003E-4</v>
      </c>
      <c r="H181" s="773">
        <f t="shared" si="16"/>
        <v>0</v>
      </c>
      <c r="I181" s="780"/>
      <c r="J181" s="786"/>
      <c r="K181" s="49" t="str">
        <f>VLOOKUP(BOM!D181,'RECAP MATIERE'!$A$17:$G$75,7,FALSE)</f>
        <v>[Nation] Plastics in waste incineration plants</v>
      </c>
      <c r="L181" s="34"/>
      <c r="M181" s="34"/>
      <c r="N181" s="34"/>
      <c r="O181" s="34"/>
      <c r="P181" s="32" t="s">
        <v>502</v>
      </c>
      <c r="Q181" s="30" t="s">
        <v>66</v>
      </c>
      <c r="R181" s="30" t="s">
        <v>447</v>
      </c>
      <c r="S181" s="34">
        <v>0</v>
      </c>
      <c r="T181" s="34" t="s">
        <v>503</v>
      </c>
      <c r="U181" s="34">
        <v>4</v>
      </c>
      <c r="V181" s="34">
        <v>70</v>
      </c>
      <c r="W181" s="30">
        <v>295</v>
      </c>
      <c r="X181" s="660" t="s">
        <v>30</v>
      </c>
      <c r="Y181" s="34"/>
    </row>
    <row r="182" spans="1:25" ht="43.2" x14ac:dyDescent="0.3">
      <c r="A182" s="769" t="s">
        <v>501</v>
      </c>
      <c r="B182" s="769" t="s">
        <v>148</v>
      </c>
      <c r="C182" s="769" t="s">
        <v>90</v>
      </c>
      <c r="D182" s="784" t="s">
        <v>240</v>
      </c>
      <c r="E182" s="49">
        <f>VLOOKUP(BOM!D182,'RECAP MATIERE'!$A$17:$G$75,5,FALSE)</f>
        <v>0</v>
      </c>
      <c r="F182" s="49" t="str">
        <f>VLOOKUP(BOM!D182,'RECAP MATIERE'!$A$17:$G$75,6,FALSE)</f>
        <v>GLO: plastic injection moulding</v>
      </c>
      <c r="G182" s="784">
        <v>0.01</v>
      </c>
      <c r="H182" s="773">
        <f t="shared" si="16"/>
        <v>0</v>
      </c>
      <c r="I182" s="784"/>
      <c r="J182" s="786"/>
      <c r="K182" s="49" t="str">
        <f>VLOOKUP(BOM!D182,'RECAP MATIERE'!$A$17:$G$75,7,FALSE)</f>
        <v>[Nation] Plastics in waste incineration plants</v>
      </c>
      <c r="L182" s="34"/>
      <c r="M182" s="34"/>
      <c r="N182" s="34"/>
      <c r="O182" s="34"/>
      <c r="P182" s="32" t="s">
        <v>502</v>
      </c>
      <c r="Q182" s="30" t="s">
        <v>66</v>
      </c>
      <c r="R182" s="30" t="s">
        <v>448</v>
      </c>
      <c r="S182" s="34">
        <v>0</v>
      </c>
      <c r="T182" s="34" t="s">
        <v>503</v>
      </c>
      <c r="U182" s="34">
        <v>4</v>
      </c>
      <c r="V182" s="34">
        <v>70</v>
      </c>
      <c r="W182" s="30">
        <v>295</v>
      </c>
      <c r="X182" s="660" t="s">
        <v>30</v>
      </c>
      <c r="Y182" s="34"/>
    </row>
    <row r="183" spans="1:25" ht="43.2" x14ac:dyDescent="0.3">
      <c r="A183" s="769" t="s">
        <v>501</v>
      </c>
      <c r="B183" s="769" t="s">
        <v>148</v>
      </c>
      <c r="C183" s="769" t="s">
        <v>90</v>
      </c>
      <c r="D183" s="793" t="s">
        <v>262</v>
      </c>
      <c r="E183" s="49" t="str">
        <f>VLOOKUP(BOM!D183,'RECAP MATIERE'!$A$17:$G$75,5,FALSE)</f>
        <v>EU28: Polyamide 6</v>
      </c>
      <c r="F183" s="49" t="str">
        <f>VLOOKUP(BOM!D183,'RECAP MATIERE'!$A$17:$G$75,6,FALSE)</f>
        <v>GLO: plastic injection moulding</v>
      </c>
      <c r="G183" s="793">
        <v>2E-3</v>
      </c>
      <c r="H183" s="773">
        <f t="shared" si="16"/>
        <v>0</v>
      </c>
      <c r="I183" s="793"/>
      <c r="J183" s="786"/>
      <c r="K183" s="49" t="str">
        <f>VLOOKUP(BOM!D183,'RECAP MATIERE'!$A$17:$G$75,7,FALSE)</f>
        <v>[Nation] Plastics in waste incineration plants</v>
      </c>
      <c r="L183" s="34"/>
      <c r="M183" s="34"/>
      <c r="N183" s="34"/>
      <c r="O183" s="34"/>
      <c r="P183" s="32" t="s">
        <v>502</v>
      </c>
      <c r="Q183" s="30" t="s">
        <v>66</v>
      </c>
      <c r="R183" s="30" t="s">
        <v>450</v>
      </c>
      <c r="S183" s="34">
        <v>0</v>
      </c>
      <c r="T183" s="34" t="s">
        <v>503</v>
      </c>
      <c r="U183" s="34">
        <v>4</v>
      </c>
      <c r="V183" s="34">
        <v>70</v>
      </c>
      <c r="W183" s="30">
        <v>295</v>
      </c>
      <c r="X183" s="660" t="s">
        <v>30</v>
      </c>
      <c r="Y183" s="34"/>
    </row>
    <row r="184" spans="1:25" ht="43.2" x14ac:dyDescent="0.3">
      <c r="A184" s="769" t="s">
        <v>501</v>
      </c>
      <c r="B184" s="769" t="s">
        <v>148</v>
      </c>
      <c r="C184" s="769" t="s">
        <v>90</v>
      </c>
      <c r="D184" s="796" t="s">
        <v>267</v>
      </c>
      <c r="E184" s="49" t="str">
        <f>VLOOKUP(BOM!D184,'RECAP MATIERE'!$A$17:$G$75,5,FALSE)</f>
        <v>RER: Polyvinyl chloride film (PVC)</v>
      </c>
      <c r="F184" s="49" t="str">
        <f>VLOOKUP(BOM!D184,'RECAP MATIERE'!$A$17:$G$75,6,FALSE)</f>
        <v>SIMAPRO : extrusion and thermoforming</v>
      </c>
      <c r="G184" s="796">
        <v>1.3839999999999999</v>
      </c>
      <c r="H184" s="773">
        <f t="shared" si="16"/>
        <v>0</v>
      </c>
      <c r="I184" s="796"/>
      <c r="J184" s="786"/>
      <c r="K184" s="49" t="str">
        <f>VLOOKUP(BOM!D184,'RECAP MATIERE'!$A$17:$G$75,7,FALSE)</f>
        <v>[Nation] Plastics in waste incineration plants</v>
      </c>
      <c r="L184" s="34"/>
      <c r="M184" s="34"/>
      <c r="N184" s="34"/>
      <c r="O184" s="34"/>
      <c r="P184" s="32" t="s">
        <v>502</v>
      </c>
      <c r="Q184" s="30" t="s">
        <v>66</v>
      </c>
      <c r="R184" s="30" t="s">
        <v>451</v>
      </c>
      <c r="S184" s="34">
        <v>0</v>
      </c>
      <c r="T184" s="34" t="s">
        <v>503</v>
      </c>
      <c r="U184" s="34">
        <v>4</v>
      </c>
      <c r="V184" s="34">
        <v>70</v>
      </c>
      <c r="W184" s="30">
        <v>295</v>
      </c>
      <c r="X184" s="660" t="s">
        <v>30</v>
      </c>
      <c r="Y184" s="34"/>
    </row>
    <row r="185" spans="1:25" ht="28.8" x14ac:dyDescent="0.3">
      <c r="A185" s="769" t="s">
        <v>501</v>
      </c>
      <c r="B185" s="769" t="s">
        <v>148</v>
      </c>
      <c r="C185" s="769" t="s">
        <v>90</v>
      </c>
      <c r="D185" s="779" t="s">
        <v>282</v>
      </c>
      <c r="E185" s="49" t="e">
        <f>VLOOKUP(BOM!D185,'RECAP MATIERE'!$A$17:$G$75,5,FALSE)</f>
        <v>#N/A</v>
      </c>
      <c r="F185" s="49" t="e">
        <f>VLOOKUP(BOM!D185,'RECAP MATIERE'!$A$17:$G$75,6,FALSE)</f>
        <v>#N/A</v>
      </c>
      <c r="G185" s="827">
        <v>0.39200000000000002</v>
      </c>
      <c r="H185" s="773">
        <f t="shared" si="16"/>
        <v>0</v>
      </c>
      <c r="I185" s="827"/>
      <c r="J185" s="786"/>
      <c r="K185" s="49" t="e">
        <f>VLOOKUP(BOM!D185,'RECAP MATIERE'!$A$17:$G$75,7,FALSE)</f>
        <v>#N/A</v>
      </c>
      <c r="L185" s="34"/>
      <c r="M185" s="34"/>
      <c r="N185" s="34"/>
      <c r="O185" s="34"/>
      <c r="P185" s="32" t="s">
        <v>502</v>
      </c>
      <c r="Q185" s="30" t="s">
        <v>66</v>
      </c>
      <c r="R185" s="30" t="s">
        <v>495</v>
      </c>
      <c r="S185" s="34">
        <v>0</v>
      </c>
      <c r="T185" s="34" t="s">
        <v>503</v>
      </c>
      <c r="U185" s="34">
        <v>4</v>
      </c>
      <c r="V185" s="34">
        <v>70</v>
      </c>
      <c r="W185" s="30">
        <v>295</v>
      </c>
      <c r="X185" s="660" t="s">
        <v>30</v>
      </c>
      <c r="Y185" s="34"/>
    </row>
    <row r="186" spans="1:25" x14ac:dyDescent="0.3">
      <c r="A186" s="769" t="s">
        <v>501</v>
      </c>
      <c r="B186" s="769" t="s">
        <v>243</v>
      </c>
      <c r="D186" s="35" t="s">
        <v>452</v>
      </c>
      <c r="E186" s="49" t="str">
        <f>VLOOKUP(BOM!D186,'RECAP MATIERE'!$A$17:$G$75,5,FALSE)</f>
        <v>EU28: Plywood board</v>
      </c>
      <c r="F186" s="49" t="str">
        <f>VLOOKUP(BOM!D186,'RECAP MATIERE'!$A$17:$G$75,6,FALSE)</f>
        <v>N/A</v>
      </c>
      <c r="G186" s="798">
        <f>0.95*I186/40</f>
        <v>0.41562500000000002</v>
      </c>
      <c r="H186" s="773">
        <f t="shared" si="16"/>
        <v>0</v>
      </c>
      <c r="I186" s="896">
        <f t="shared" ref="I186" si="22">V185/U185</f>
        <v>17.5</v>
      </c>
      <c r="J186" s="786"/>
      <c r="K186" s="49" t="str">
        <f>VLOOKUP(BOM!D186,'RECAP MATIERE'!$A$17:$G$75,7,FALSE)</f>
        <v>N/A</v>
      </c>
      <c r="L186" s="34"/>
      <c r="M186" s="34"/>
      <c r="N186" s="34"/>
      <c r="O186" s="34"/>
      <c r="P186" s="32"/>
      <c r="Q186" s="30"/>
      <c r="R186" s="30" t="s">
        <v>495</v>
      </c>
      <c r="S186" s="34">
        <v>0</v>
      </c>
      <c r="T186" s="34" t="s">
        <v>503</v>
      </c>
      <c r="U186" s="34"/>
      <c r="V186" s="34"/>
      <c r="W186" s="30"/>
      <c r="X186" s="660"/>
      <c r="Y186" s="34"/>
    </row>
    <row r="187" spans="1:25" x14ac:dyDescent="0.3">
      <c r="A187" s="769" t="s">
        <v>501</v>
      </c>
      <c r="B187" s="769" t="s">
        <v>243</v>
      </c>
      <c r="D187" s="35" t="s">
        <v>419</v>
      </c>
      <c r="E187" s="49"/>
      <c r="F187" s="49"/>
      <c r="G187" s="798">
        <f>0.045*I187/40</f>
        <v>1.96875E-2</v>
      </c>
      <c r="H187" s="773">
        <f t="shared" si="16"/>
        <v>0</v>
      </c>
      <c r="I187" s="896">
        <f>V185/U185</f>
        <v>17.5</v>
      </c>
      <c r="J187" s="786"/>
      <c r="K187" s="49"/>
      <c r="L187" s="34"/>
      <c r="M187" s="34"/>
      <c r="N187" s="34"/>
      <c r="O187" s="34"/>
      <c r="P187" s="32"/>
      <c r="Q187" s="30"/>
      <c r="R187" s="30" t="s">
        <v>495</v>
      </c>
      <c r="S187" s="34"/>
      <c r="T187" s="34"/>
      <c r="U187" s="34"/>
      <c r="V187" s="34"/>
      <c r="W187" s="30"/>
      <c r="X187" s="660"/>
      <c r="Y187" s="34"/>
    </row>
    <row r="188" spans="1:25" x14ac:dyDescent="0.3">
      <c r="A188" s="769" t="s">
        <v>501</v>
      </c>
      <c r="B188" s="769" t="s">
        <v>243</v>
      </c>
      <c r="D188" s="897" t="s">
        <v>131</v>
      </c>
      <c r="E188" s="49" t="str">
        <f>VLOOKUP(BOM!D188,'RECAP MATIERE'!$A$17:$G$75,5,FALSE)</f>
        <v>EU28: Expanded polyethylene foam</v>
      </c>
      <c r="F188" s="49" t="str">
        <f>VLOOKUP(BOM!D188,'RECAP MATIERE'!$A$17:$G$75,6,FALSE)</f>
        <v>N/A</v>
      </c>
      <c r="G188" s="897">
        <f>0.005*I188/40</f>
        <v>2.1875000000000002E-3</v>
      </c>
      <c r="H188" s="773">
        <f t="shared" si="16"/>
        <v>0</v>
      </c>
      <c r="I188" s="896">
        <f>V185/U185</f>
        <v>17.5</v>
      </c>
      <c r="J188" s="786"/>
      <c r="K188" s="49" t="str">
        <f>VLOOKUP(BOM!D188,'RECAP MATIERE'!$A$17:$G$75,7,FALSE)</f>
        <v>N/A</v>
      </c>
      <c r="L188" s="34"/>
      <c r="M188" s="34"/>
      <c r="N188" s="34"/>
      <c r="O188" s="34"/>
      <c r="P188" s="32"/>
      <c r="Q188" s="30"/>
      <c r="R188" s="30" t="s">
        <v>495</v>
      </c>
      <c r="S188" s="34">
        <v>0</v>
      </c>
      <c r="T188" s="34" t="s">
        <v>503</v>
      </c>
      <c r="U188" s="34"/>
      <c r="V188" s="34"/>
      <c r="W188" s="30"/>
      <c r="X188" s="660"/>
      <c r="Y188" s="34"/>
    </row>
    <row r="189" spans="1:25" ht="43.2" x14ac:dyDescent="0.3">
      <c r="A189" s="769" t="s">
        <v>155</v>
      </c>
      <c r="B189" s="769" t="s">
        <v>156</v>
      </c>
      <c r="C189" s="769" t="s">
        <v>157</v>
      </c>
      <c r="D189" s="828" t="s">
        <v>249</v>
      </c>
      <c r="E189" s="49" t="str">
        <f>VLOOKUP(BOM!D189,'RECAP MATIERE'!$A$17:$G$75,5,FALSE)</f>
        <v>EU28: Polyurethane flexible foam, with flame retardant</v>
      </c>
      <c r="F189" s="49" t="str">
        <f>VLOOKUP(BOM!D189,'RECAP MATIERE'!$A$17:$G$75,6,FALSE)</f>
        <v>N/A</v>
      </c>
      <c r="G189" s="828">
        <v>1.0049999999999999</v>
      </c>
      <c r="H189" s="773">
        <f t="shared" si="16"/>
        <v>0</v>
      </c>
      <c r="I189" s="828"/>
      <c r="J189" s="786"/>
      <c r="K189" s="49" t="str">
        <f>VLOOKUP(BOM!D189,'RECAP MATIERE'!$A$17:$G$75,7,FALSE)</f>
        <v>[Nation] Plastics in waste incineration plants</v>
      </c>
      <c r="L189" s="34"/>
      <c r="M189" s="34"/>
      <c r="N189" s="34"/>
      <c r="O189" s="34"/>
      <c r="P189" s="30" t="s">
        <v>504</v>
      </c>
      <c r="Q189" s="30" t="s">
        <v>160</v>
      </c>
      <c r="R189" s="32" t="s">
        <v>161</v>
      </c>
      <c r="S189" s="34" t="s">
        <v>505</v>
      </c>
      <c r="T189" s="34">
        <v>0</v>
      </c>
      <c r="U189" s="34">
        <v>4</v>
      </c>
      <c r="V189" s="34">
        <v>3.2</v>
      </c>
      <c r="W189" s="30">
        <v>1800</v>
      </c>
      <c r="X189" s="660" t="s">
        <v>44</v>
      </c>
      <c r="Y189" s="34"/>
    </row>
    <row r="190" spans="1:25" ht="43.2" x14ac:dyDescent="0.3">
      <c r="A190" s="769" t="s">
        <v>155</v>
      </c>
      <c r="B190" s="769" t="s">
        <v>156</v>
      </c>
      <c r="C190" s="769" t="s">
        <v>157</v>
      </c>
      <c r="D190" s="829" t="s">
        <v>266</v>
      </c>
      <c r="E190" s="49" t="str">
        <f>VLOOKUP(BOM!D190,'RECAP MATIERE'!$A$17:$G$75,5,FALSE)</f>
        <v>95% Wool/ 5%Nylon</v>
      </c>
      <c r="F190" s="49" t="str">
        <f>VLOOKUP(BOM!D190,'RECAP MATIERE'!$A$17:$G$75,6,FALSE)</f>
        <v>N/A</v>
      </c>
      <c r="G190" s="829">
        <v>0.30499999999999999</v>
      </c>
      <c r="H190" s="773">
        <f t="shared" si="16"/>
        <v>0</v>
      </c>
      <c r="I190" s="829"/>
      <c r="J190" s="786"/>
      <c r="K190" s="49" t="str">
        <f>VLOOKUP(BOM!D190,'RECAP MATIERE'!$A$17:$G$75,7,FALSE)</f>
        <v>[Nation] Plastics in waste incineration plants</v>
      </c>
      <c r="L190" s="34"/>
      <c r="M190" s="34"/>
      <c r="N190" s="34"/>
      <c r="O190" s="34"/>
      <c r="P190" s="30" t="s">
        <v>504</v>
      </c>
      <c r="Q190" s="30" t="s">
        <v>160</v>
      </c>
      <c r="R190" s="32" t="s">
        <v>161</v>
      </c>
      <c r="S190" s="34" t="s">
        <v>505</v>
      </c>
      <c r="T190" s="34">
        <v>0</v>
      </c>
      <c r="U190" s="34">
        <v>4</v>
      </c>
      <c r="V190" s="34">
        <v>3.2</v>
      </c>
      <c r="W190" s="30">
        <v>1800</v>
      </c>
      <c r="X190" s="660" t="s">
        <v>44</v>
      </c>
      <c r="Y190" s="34"/>
    </row>
    <row r="191" spans="1:25" ht="28.8" x14ac:dyDescent="0.3">
      <c r="A191" s="769" t="s">
        <v>155</v>
      </c>
      <c r="B191" s="769" t="s">
        <v>156</v>
      </c>
      <c r="C191" s="769" t="s">
        <v>157</v>
      </c>
      <c r="D191" s="806" t="s">
        <v>506</v>
      </c>
      <c r="E191" s="49" t="e">
        <f>VLOOKUP(BOM!D191,'RECAP MATIERE'!$A$17:$G$75,5,FALSE)</f>
        <v>#N/A</v>
      </c>
      <c r="F191" s="49" t="e">
        <f>VLOOKUP(BOM!D191,'RECAP MATIERE'!$A$17:$G$75,6,FALSE)</f>
        <v>#N/A</v>
      </c>
      <c r="G191" s="806">
        <v>3.4000000000000002E-2</v>
      </c>
      <c r="H191" s="773">
        <f t="shared" si="16"/>
        <v>0</v>
      </c>
      <c r="I191" s="806"/>
      <c r="J191" s="786"/>
      <c r="K191" s="49" t="e">
        <f>VLOOKUP(BOM!D191,'RECAP MATIERE'!$A$17:$G$75,7,FALSE)</f>
        <v>#N/A</v>
      </c>
      <c r="L191" s="34"/>
      <c r="M191" s="34"/>
      <c r="N191" s="34"/>
      <c r="O191" s="34"/>
      <c r="P191" s="30" t="s">
        <v>504</v>
      </c>
      <c r="Q191" s="30" t="s">
        <v>160</v>
      </c>
      <c r="R191" s="32" t="s">
        <v>161</v>
      </c>
      <c r="S191" s="34" t="s">
        <v>505</v>
      </c>
      <c r="T191" s="34">
        <v>0</v>
      </c>
      <c r="U191" s="34">
        <v>4</v>
      </c>
      <c r="V191" s="34">
        <v>3.2</v>
      </c>
      <c r="W191" s="30">
        <v>1800</v>
      </c>
      <c r="X191" s="660" t="s">
        <v>44</v>
      </c>
      <c r="Y191" s="34"/>
    </row>
    <row r="192" spans="1:25" ht="28.8" x14ac:dyDescent="0.3">
      <c r="A192" s="769" t="s">
        <v>155</v>
      </c>
      <c r="B192" s="769" t="s">
        <v>156</v>
      </c>
      <c r="C192" s="769" t="s">
        <v>157</v>
      </c>
      <c r="D192" s="796" t="s">
        <v>335</v>
      </c>
      <c r="E192" s="49" t="e">
        <f>VLOOKUP(BOM!D192,'RECAP MATIERE'!$A$17:$G$75,5,FALSE)</f>
        <v>#N/A</v>
      </c>
      <c r="F192" s="49" t="e">
        <f>VLOOKUP(BOM!D192,'RECAP MATIERE'!$A$17:$G$75,6,FALSE)</f>
        <v>#N/A</v>
      </c>
      <c r="G192" s="796">
        <v>3.6999999999999998E-2</v>
      </c>
      <c r="H192" s="773">
        <f t="shared" si="16"/>
        <v>0</v>
      </c>
      <c r="I192" s="796"/>
      <c r="J192" s="786"/>
      <c r="K192" s="49" t="e">
        <f>VLOOKUP(BOM!D192,'RECAP MATIERE'!$A$17:$G$75,7,FALSE)</f>
        <v>#N/A</v>
      </c>
      <c r="L192" s="34"/>
      <c r="M192" s="34"/>
      <c r="N192" s="34"/>
      <c r="O192" s="34"/>
      <c r="P192" s="30" t="s">
        <v>504</v>
      </c>
      <c r="Q192" s="30" t="s">
        <v>160</v>
      </c>
      <c r="R192" s="32" t="s">
        <v>161</v>
      </c>
      <c r="S192" s="34" t="s">
        <v>505</v>
      </c>
      <c r="T192" s="34">
        <v>0</v>
      </c>
      <c r="U192" s="34">
        <v>4</v>
      </c>
      <c r="V192" s="34">
        <v>3.2</v>
      </c>
      <c r="W192" s="30">
        <v>1800</v>
      </c>
      <c r="X192" s="660" t="s">
        <v>44</v>
      </c>
      <c r="Y192" s="34"/>
    </row>
    <row r="193" spans="1:25" ht="28.8" x14ac:dyDescent="0.3">
      <c r="A193" s="769" t="s">
        <v>155</v>
      </c>
      <c r="B193" s="769" t="s">
        <v>243</v>
      </c>
      <c r="C193" s="769"/>
      <c r="D193" s="896" t="s">
        <v>419</v>
      </c>
      <c r="E193" s="49" t="str">
        <f>VLOOKUP(BOM!D193,'RECAP MATIERE'!$A$17:$G$75,5,FALSE)</f>
        <v>EU28: Carton from folding boxboard</v>
      </c>
      <c r="F193" s="49" t="str">
        <f>VLOOKUP(BOM!D193,'RECAP MATIERE'!$A$17:$G$75,6,FALSE)</f>
        <v>N/A</v>
      </c>
      <c r="G193" s="896">
        <f>0.9*I193</f>
        <v>0.72000000000000008</v>
      </c>
      <c r="H193" s="773">
        <f t="shared" si="16"/>
        <v>0</v>
      </c>
      <c r="I193" s="896">
        <f t="shared" ref="I193" si="23">V192/U192</f>
        <v>0.8</v>
      </c>
      <c r="J193" s="786"/>
      <c r="K193" s="49" t="str">
        <f>VLOOKUP(BOM!D193,'RECAP MATIERE'!$A$17:$G$75,7,FALSE)</f>
        <v>N/A</v>
      </c>
      <c r="L193" s="34"/>
      <c r="M193" s="34"/>
      <c r="N193" s="34"/>
      <c r="O193" s="34"/>
      <c r="P193" s="30"/>
      <c r="Q193" s="30"/>
      <c r="R193" s="32" t="s">
        <v>161</v>
      </c>
      <c r="S193" s="34" t="s">
        <v>505</v>
      </c>
      <c r="T193" s="34">
        <v>0</v>
      </c>
      <c r="U193" s="34"/>
      <c r="V193" s="34"/>
      <c r="W193" s="30"/>
      <c r="X193" s="660"/>
      <c r="Y193" s="34"/>
    </row>
    <row r="194" spans="1:25" ht="28.8" x14ac:dyDescent="0.3">
      <c r="A194" s="769" t="s">
        <v>155</v>
      </c>
      <c r="B194" s="769" t="s">
        <v>243</v>
      </c>
      <c r="C194" s="769"/>
      <c r="D194" s="902" t="s">
        <v>500</v>
      </c>
      <c r="E194" s="49" t="str">
        <f>VLOOKUP(BOM!D194,'RECAP MATIERE'!$A$17:$G$75,5,FALSE)</f>
        <v>EU25: Graphic paper</v>
      </c>
      <c r="F194" s="49" t="str">
        <f>VLOOKUP(BOM!D194,'RECAP MATIERE'!$A$17:$G$75,6,FALSE)</f>
        <v>N/A</v>
      </c>
      <c r="G194" s="901">
        <f>0.1*I194</f>
        <v>8.0000000000000016E-2</v>
      </c>
      <c r="H194" s="773">
        <f t="shared" si="16"/>
        <v>0</v>
      </c>
      <c r="I194" s="896">
        <f>V192/U192</f>
        <v>0.8</v>
      </c>
      <c r="J194" s="786"/>
      <c r="K194" s="49" t="str">
        <f>VLOOKUP(BOM!D194,'RECAP MATIERE'!$A$17:$G$75,7,FALSE)</f>
        <v>N/A</v>
      </c>
      <c r="L194" s="34"/>
      <c r="M194" s="34"/>
      <c r="N194" s="34"/>
      <c r="O194" s="34"/>
      <c r="P194" s="30"/>
      <c r="Q194" s="30"/>
      <c r="R194" s="32" t="s">
        <v>161</v>
      </c>
      <c r="S194" s="34" t="s">
        <v>505</v>
      </c>
      <c r="T194" s="34">
        <v>0</v>
      </c>
      <c r="U194" s="34"/>
      <c r="V194" s="34"/>
      <c r="W194" s="30"/>
      <c r="X194" s="660"/>
      <c r="Y194" s="34"/>
    </row>
    <row r="195" spans="1:25" ht="43.2" x14ac:dyDescent="0.3">
      <c r="A195" s="769" t="s">
        <v>162</v>
      </c>
      <c r="B195" s="769" t="s">
        <v>163</v>
      </c>
      <c r="C195" s="769" t="s">
        <v>157</v>
      </c>
      <c r="D195" s="828" t="s">
        <v>249</v>
      </c>
      <c r="E195" s="49" t="str">
        <f>VLOOKUP(BOM!D195,'RECAP MATIERE'!$A$17:$G$75,5,FALSE)</f>
        <v>EU28: Polyurethane flexible foam, with flame retardant</v>
      </c>
      <c r="F195" s="49" t="str">
        <f>VLOOKUP(BOM!D195,'RECAP MATIERE'!$A$17:$G$75,6,FALSE)</f>
        <v>N/A</v>
      </c>
      <c r="G195" s="828">
        <v>0.121</v>
      </c>
      <c r="H195" s="773">
        <f t="shared" ref="H195:H264" si="24">L195/G195</f>
        <v>0</v>
      </c>
      <c r="I195" s="828"/>
      <c r="J195" s="786"/>
      <c r="K195" s="49" t="str">
        <f>VLOOKUP(BOM!D195,'RECAP MATIERE'!$A$17:$G$75,7,FALSE)</f>
        <v>[Nation] Plastics in waste incineration plants</v>
      </c>
      <c r="L195" s="34"/>
      <c r="M195" s="34"/>
      <c r="N195" s="34"/>
      <c r="O195" s="34"/>
      <c r="P195" s="30" t="s">
        <v>504</v>
      </c>
      <c r="Q195" s="30" t="s">
        <v>160</v>
      </c>
      <c r="R195" s="32" t="s">
        <v>161</v>
      </c>
      <c r="S195" s="34" t="s">
        <v>507</v>
      </c>
      <c r="T195" s="34">
        <v>0</v>
      </c>
      <c r="U195" s="34">
        <v>12</v>
      </c>
      <c r="V195" s="34">
        <v>2</v>
      </c>
      <c r="W195" s="30">
        <v>1800</v>
      </c>
      <c r="X195" s="660" t="s">
        <v>44</v>
      </c>
      <c r="Y195" s="34"/>
    </row>
    <row r="196" spans="1:25" ht="43.2" x14ac:dyDescent="0.3">
      <c r="A196" s="769" t="s">
        <v>162</v>
      </c>
      <c r="B196" s="769" t="s">
        <v>163</v>
      </c>
      <c r="C196" s="769" t="s">
        <v>157</v>
      </c>
      <c r="D196" s="829" t="s">
        <v>266</v>
      </c>
      <c r="E196" s="49" t="str">
        <f>VLOOKUP(BOM!D196,'RECAP MATIERE'!$A$17:$G$75,5,FALSE)</f>
        <v>95% Wool/ 5%Nylon</v>
      </c>
      <c r="F196" s="49" t="str">
        <f>VLOOKUP(BOM!D196,'RECAP MATIERE'!$A$17:$G$75,6,FALSE)</f>
        <v>N/A</v>
      </c>
      <c r="G196" s="829">
        <v>0.18099999999999999</v>
      </c>
      <c r="H196" s="773">
        <f t="shared" si="24"/>
        <v>0</v>
      </c>
      <c r="I196" s="829"/>
      <c r="J196" s="786"/>
      <c r="K196" s="49" t="str">
        <f>VLOOKUP(BOM!D196,'RECAP MATIERE'!$A$17:$G$75,7,FALSE)</f>
        <v>[Nation] Plastics in waste incineration plants</v>
      </c>
      <c r="L196" s="34"/>
      <c r="M196" s="34"/>
      <c r="N196" s="34"/>
      <c r="O196" s="34"/>
      <c r="P196" s="30" t="s">
        <v>504</v>
      </c>
      <c r="Q196" s="30" t="s">
        <v>160</v>
      </c>
      <c r="R196" s="32" t="s">
        <v>161</v>
      </c>
      <c r="S196" s="34" t="s">
        <v>507</v>
      </c>
      <c r="T196" s="34">
        <v>0</v>
      </c>
      <c r="U196" s="34">
        <v>12</v>
      </c>
      <c r="V196" s="34">
        <v>2</v>
      </c>
      <c r="W196" s="30">
        <v>1800</v>
      </c>
      <c r="X196" s="660" t="s">
        <v>44</v>
      </c>
      <c r="Y196" s="34"/>
    </row>
    <row r="197" spans="1:25" ht="28.8" x14ac:dyDescent="0.3">
      <c r="A197" s="769" t="s">
        <v>162</v>
      </c>
      <c r="B197" s="769" t="s">
        <v>163</v>
      </c>
      <c r="C197" s="769" t="s">
        <v>157</v>
      </c>
      <c r="D197" s="806" t="s">
        <v>506</v>
      </c>
      <c r="E197" s="49" t="e">
        <f>VLOOKUP(BOM!D197,'RECAP MATIERE'!$A$17:$G$75,5,FALSE)</f>
        <v>#N/A</v>
      </c>
      <c r="F197" s="49" t="e">
        <f>VLOOKUP(BOM!D197,'RECAP MATIERE'!$A$17:$G$75,6,FALSE)</f>
        <v>#N/A</v>
      </c>
      <c r="G197" s="806">
        <v>3.0000000000000001E-3</v>
      </c>
      <c r="H197" s="773">
        <f t="shared" si="24"/>
        <v>0</v>
      </c>
      <c r="I197" s="806"/>
      <c r="J197" s="786"/>
      <c r="K197" s="49" t="e">
        <f>VLOOKUP(BOM!D197,'RECAP MATIERE'!$A$17:$G$75,7,FALSE)</f>
        <v>#N/A</v>
      </c>
      <c r="L197" s="34"/>
      <c r="M197" s="34"/>
      <c r="N197" s="34"/>
      <c r="O197" s="34"/>
      <c r="P197" s="30" t="s">
        <v>504</v>
      </c>
      <c r="Q197" s="30" t="s">
        <v>160</v>
      </c>
      <c r="R197" s="32" t="s">
        <v>161</v>
      </c>
      <c r="S197" s="34" t="s">
        <v>507</v>
      </c>
      <c r="T197" s="34">
        <v>0</v>
      </c>
      <c r="U197" s="34">
        <v>12</v>
      </c>
      <c r="V197" s="34">
        <v>2</v>
      </c>
      <c r="W197" s="30">
        <v>1800</v>
      </c>
      <c r="X197" s="660" t="s">
        <v>44</v>
      </c>
      <c r="Y197" s="34"/>
    </row>
    <row r="198" spans="1:25" ht="43.2" x14ac:dyDescent="0.3">
      <c r="A198" s="769" t="s">
        <v>162</v>
      </c>
      <c r="B198" s="769" t="s">
        <v>163</v>
      </c>
      <c r="C198" s="769" t="s">
        <v>157</v>
      </c>
      <c r="D198" s="770" t="s">
        <v>247</v>
      </c>
      <c r="E198" s="49" t="str">
        <f>VLOOKUP(BOM!D198,'RECAP MATIERE'!$A$17:$G$75,5,FALSE)</f>
        <v>EU28: Polyurethane flexible foam, with flame retardant
EU28: PA6.6 fibres</v>
      </c>
      <c r="F198" s="49" t="str">
        <f>VLOOKUP(BOM!D198,'RECAP MATIERE'!$A$17:$G$75,6,FALSE)</f>
        <v>N/A</v>
      </c>
      <c r="G198" s="770">
        <v>7.0000000000000001E-3</v>
      </c>
      <c r="H198" s="773">
        <f t="shared" si="24"/>
        <v>0</v>
      </c>
      <c r="I198" s="770"/>
      <c r="J198" s="786"/>
      <c r="K198" s="49" t="str">
        <f>VLOOKUP(BOM!D198,'RECAP MATIERE'!$A$17:$G$75,7,FALSE)</f>
        <v>[Nation] Plastics in waste incineration plants</v>
      </c>
      <c r="L198" s="34"/>
      <c r="M198" s="34"/>
      <c r="N198" s="34"/>
      <c r="O198" s="34"/>
      <c r="P198" s="30" t="s">
        <v>504</v>
      </c>
      <c r="Q198" s="30" t="s">
        <v>160</v>
      </c>
      <c r="R198" s="32" t="s">
        <v>161</v>
      </c>
      <c r="S198" s="34" t="s">
        <v>507</v>
      </c>
      <c r="T198" s="34">
        <v>0</v>
      </c>
      <c r="U198" s="34">
        <v>12</v>
      </c>
      <c r="V198" s="34">
        <v>2</v>
      </c>
      <c r="W198" s="30">
        <v>1800</v>
      </c>
      <c r="X198" s="660" t="s">
        <v>44</v>
      </c>
      <c r="Y198" s="34"/>
    </row>
    <row r="199" spans="1:25" x14ac:dyDescent="0.3">
      <c r="A199" s="769" t="s">
        <v>162</v>
      </c>
      <c r="B199" s="769" t="s">
        <v>243</v>
      </c>
      <c r="C199" s="769"/>
      <c r="D199" s="896" t="s">
        <v>419</v>
      </c>
      <c r="E199" s="49" t="str">
        <f>VLOOKUP(BOM!D199,'RECAP MATIERE'!$A$17:$G$75,5,FALSE)</f>
        <v>EU28: Carton from folding boxboard</v>
      </c>
      <c r="F199" s="49" t="str">
        <f>VLOOKUP(BOM!D199,'RECAP MATIERE'!$A$17:$G$75,6,FALSE)</f>
        <v>N/A</v>
      </c>
      <c r="G199" s="896">
        <f>0.9*I199</f>
        <v>0.15</v>
      </c>
      <c r="H199" s="773">
        <f t="shared" si="24"/>
        <v>0</v>
      </c>
      <c r="I199" s="896">
        <f t="shared" ref="I199" si="25">V198/U198</f>
        <v>0.16666666666666666</v>
      </c>
      <c r="J199" s="786"/>
      <c r="K199" s="49" t="str">
        <f>VLOOKUP(BOM!D199,'RECAP MATIERE'!$A$17:$G$75,7,FALSE)</f>
        <v>N/A</v>
      </c>
      <c r="L199" s="34"/>
      <c r="M199" s="34"/>
      <c r="N199" s="34"/>
      <c r="O199" s="34"/>
      <c r="P199" s="30"/>
      <c r="Q199" s="30"/>
      <c r="R199" s="32" t="s">
        <v>161</v>
      </c>
      <c r="S199" s="34" t="s">
        <v>507</v>
      </c>
      <c r="T199" s="34">
        <v>0</v>
      </c>
      <c r="U199" s="34"/>
      <c r="V199" s="34"/>
      <c r="W199" s="30"/>
      <c r="X199" s="660"/>
      <c r="Y199" s="34"/>
    </row>
    <row r="200" spans="1:25" x14ac:dyDescent="0.3">
      <c r="A200" s="769" t="s">
        <v>162</v>
      </c>
      <c r="B200" s="769" t="s">
        <v>243</v>
      </c>
      <c r="C200" s="769"/>
      <c r="D200" s="902" t="s">
        <v>500</v>
      </c>
      <c r="E200" s="49" t="str">
        <f>VLOOKUP(BOM!D200,'RECAP MATIERE'!$A$17:$G$75,5,FALSE)</f>
        <v>EU25: Graphic paper</v>
      </c>
      <c r="F200" s="49" t="str">
        <f>VLOOKUP(BOM!D200,'RECAP MATIERE'!$A$17:$G$75,6,FALSE)</f>
        <v>N/A</v>
      </c>
      <c r="G200" s="901">
        <f>0.1*I200</f>
        <v>1.6666666666666666E-2</v>
      </c>
      <c r="H200" s="773">
        <f t="shared" si="24"/>
        <v>0</v>
      </c>
      <c r="I200" s="896">
        <f>V198/U198</f>
        <v>0.16666666666666666</v>
      </c>
      <c r="J200" s="786"/>
      <c r="K200" s="49" t="str">
        <f>VLOOKUP(BOM!D200,'RECAP MATIERE'!$A$17:$G$75,7,FALSE)</f>
        <v>N/A</v>
      </c>
      <c r="L200" s="34"/>
      <c r="M200" s="34"/>
      <c r="N200" s="34"/>
      <c r="O200" s="34"/>
      <c r="P200" s="30"/>
      <c r="Q200" s="30"/>
      <c r="R200" s="32" t="s">
        <v>161</v>
      </c>
      <c r="S200" s="34" t="s">
        <v>507</v>
      </c>
      <c r="T200" s="34">
        <v>0</v>
      </c>
      <c r="U200" s="34"/>
      <c r="V200" s="34"/>
      <c r="W200" s="30"/>
      <c r="X200" s="660"/>
      <c r="Y200" s="34"/>
    </row>
    <row r="201" spans="1:25" ht="43.2" x14ac:dyDescent="0.3">
      <c r="A201" s="769" t="s">
        <v>165</v>
      </c>
      <c r="B201" s="769" t="s">
        <v>166</v>
      </c>
      <c r="C201" s="769" t="s">
        <v>157</v>
      </c>
      <c r="D201" s="828" t="s">
        <v>249</v>
      </c>
      <c r="E201" s="49" t="str">
        <f>VLOOKUP(BOM!D201,'RECAP MATIERE'!$A$17:$G$75,5,FALSE)</f>
        <v>EU28: Polyurethane flexible foam, with flame retardant</v>
      </c>
      <c r="F201" s="49" t="str">
        <f>VLOOKUP(BOM!D201,'RECAP MATIERE'!$A$17:$G$75,6,FALSE)</f>
        <v>N/A</v>
      </c>
      <c r="G201" s="828">
        <v>0.85399999999999998</v>
      </c>
      <c r="H201" s="773">
        <f t="shared" si="24"/>
        <v>0</v>
      </c>
      <c r="I201" s="828"/>
      <c r="J201" s="786"/>
      <c r="K201" s="49" t="str">
        <f>VLOOKUP(BOM!D201,'RECAP MATIERE'!$A$17:$G$75,7,FALSE)</f>
        <v>[Nation] Plastics in waste incineration plants</v>
      </c>
      <c r="L201" s="34"/>
      <c r="M201" s="34"/>
      <c r="N201" s="34"/>
      <c r="O201" s="34"/>
      <c r="P201" s="30" t="s">
        <v>504</v>
      </c>
      <c r="Q201" s="30" t="s">
        <v>160</v>
      </c>
      <c r="R201" s="32" t="s">
        <v>161</v>
      </c>
      <c r="S201" s="34" t="s">
        <v>508</v>
      </c>
      <c r="T201" s="34">
        <v>0</v>
      </c>
      <c r="U201" s="34">
        <v>4</v>
      </c>
      <c r="V201" s="34">
        <v>3.2</v>
      </c>
      <c r="W201" s="30">
        <v>1800</v>
      </c>
      <c r="X201" s="660" t="s">
        <v>44</v>
      </c>
      <c r="Y201" s="34"/>
    </row>
    <row r="202" spans="1:25" ht="43.2" x14ac:dyDescent="0.3">
      <c r="A202" s="769" t="s">
        <v>165</v>
      </c>
      <c r="B202" s="769" t="s">
        <v>166</v>
      </c>
      <c r="C202" s="769" t="s">
        <v>157</v>
      </c>
      <c r="D202" s="829" t="s">
        <v>266</v>
      </c>
      <c r="E202" s="49" t="str">
        <f>VLOOKUP(BOM!D202,'RECAP MATIERE'!$A$17:$G$75,5,FALSE)</f>
        <v>95% Wool/ 5%Nylon</v>
      </c>
      <c r="F202" s="49" t="str">
        <f>VLOOKUP(BOM!D202,'RECAP MATIERE'!$A$17:$G$75,6,FALSE)</f>
        <v>N/A</v>
      </c>
      <c r="G202" s="829">
        <v>0.73499999999999999</v>
      </c>
      <c r="H202" s="773">
        <f t="shared" si="24"/>
        <v>0</v>
      </c>
      <c r="I202" s="829"/>
      <c r="J202" s="786"/>
      <c r="K202" s="49" t="str">
        <f>VLOOKUP(BOM!D202,'RECAP MATIERE'!$A$17:$G$75,7,FALSE)</f>
        <v>[Nation] Plastics in waste incineration plants</v>
      </c>
      <c r="L202" s="34"/>
      <c r="M202" s="34"/>
      <c r="N202" s="34"/>
      <c r="O202" s="34"/>
      <c r="P202" s="30" t="s">
        <v>504</v>
      </c>
      <c r="Q202" s="30" t="s">
        <v>160</v>
      </c>
      <c r="R202" s="32" t="s">
        <v>161</v>
      </c>
      <c r="S202" s="34" t="s">
        <v>508</v>
      </c>
      <c r="T202" s="34">
        <v>0</v>
      </c>
      <c r="U202" s="34">
        <v>4</v>
      </c>
      <c r="V202" s="34">
        <v>3.2</v>
      </c>
      <c r="W202" s="30">
        <v>1800</v>
      </c>
      <c r="X202" s="660" t="s">
        <v>44</v>
      </c>
      <c r="Y202" s="34"/>
    </row>
    <row r="203" spans="1:25" ht="28.8" x14ac:dyDescent="0.3">
      <c r="A203" s="769" t="s">
        <v>165</v>
      </c>
      <c r="B203" s="769" t="s">
        <v>166</v>
      </c>
      <c r="C203" s="769" t="s">
        <v>157</v>
      </c>
      <c r="D203" s="806" t="s">
        <v>506</v>
      </c>
      <c r="E203" s="49" t="e">
        <f>VLOOKUP(BOM!D203,'RECAP MATIERE'!$A$17:$G$75,5,FALSE)</f>
        <v>#N/A</v>
      </c>
      <c r="F203" s="49" t="e">
        <f>VLOOKUP(BOM!D203,'RECAP MATIERE'!$A$17:$G$75,6,FALSE)</f>
        <v>#N/A</v>
      </c>
      <c r="G203" s="806">
        <v>8.0000000000000002E-3</v>
      </c>
      <c r="H203" s="773">
        <f t="shared" si="24"/>
        <v>0</v>
      </c>
      <c r="I203" s="806"/>
      <c r="J203" s="786"/>
      <c r="K203" s="49" t="e">
        <f>VLOOKUP(BOM!D203,'RECAP MATIERE'!$A$17:$G$75,7,FALSE)</f>
        <v>#N/A</v>
      </c>
      <c r="L203" s="34"/>
      <c r="M203" s="34"/>
      <c r="N203" s="34"/>
      <c r="O203" s="34"/>
      <c r="P203" s="30" t="s">
        <v>504</v>
      </c>
      <c r="Q203" s="30" t="s">
        <v>160</v>
      </c>
      <c r="R203" s="32" t="s">
        <v>161</v>
      </c>
      <c r="S203" s="34" t="s">
        <v>508</v>
      </c>
      <c r="T203" s="34">
        <v>0</v>
      </c>
      <c r="U203" s="34">
        <v>4</v>
      </c>
      <c r="V203" s="34">
        <v>3.2</v>
      </c>
      <c r="W203" s="30">
        <v>1800</v>
      </c>
      <c r="X203" s="660" t="s">
        <v>44</v>
      </c>
      <c r="Y203" s="34"/>
    </row>
    <row r="204" spans="1:25" ht="43.2" x14ac:dyDescent="0.3">
      <c r="A204" s="769" t="s">
        <v>165</v>
      </c>
      <c r="B204" s="769" t="s">
        <v>166</v>
      </c>
      <c r="C204" s="769" t="s">
        <v>157</v>
      </c>
      <c r="D204" s="770" t="s">
        <v>247</v>
      </c>
      <c r="E204" s="49" t="str">
        <f>VLOOKUP(BOM!D204,'RECAP MATIERE'!$A$17:$G$75,5,FALSE)</f>
        <v>EU28: Polyurethane flexible foam, with flame retardant
EU28: PA6.6 fibres</v>
      </c>
      <c r="F204" s="49" t="str">
        <f>VLOOKUP(BOM!D204,'RECAP MATIERE'!$A$17:$G$75,6,FALSE)</f>
        <v>N/A</v>
      </c>
      <c r="G204" s="770">
        <v>5.0000000000000001E-3</v>
      </c>
      <c r="H204" s="773">
        <f t="shared" si="24"/>
        <v>0</v>
      </c>
      <c r="I204" s="770"/>
      <c r="J204" s="786"/>
      <c r="K204" s="49" t="str">
        <f>VLOOKUP(BOM!D204,'RECAP MATIERE'!$A$17:$G$75,7,FALSE)</f>
        <v>[Nation] Plastics in waste incineration plants</v>
      </c>
      <c r="L204" s="34"/>
      <c r="M204" s="34"/>
      <c r="N204" s="34"/>
      <c r="O204" s="34"/>
      <c r="P204" s="30" t="s">
        <v>504</v>
      </c>
      <c r="Q204" s="30" t="s">
        <v>160</v>
      </c>
      <c r="R204" s="32" t="s">
        <v>161</v>
      </c>
      <c r="S204" s="34" t="s">
        <v>508</v>
      </c>
      <c r="T204" s="34">
        <v>0</v>
      </c>
      <c r="U204" s="34">
        <v>4</v>
      </c>
      <c r="V204" s="34">
        <v>3.2</v>
      </c>
      <c r="W204" s="30">
        <v>1800</v>
      </c>
      <c r="X204" s="660" t="s">
        <v>44</v>
      </c>
      <c r="Y204" s="34"/>
    </row>
    <row r="205" spans="1:25" ht="28.8" x14ac:dyDescent="0.3">
      <c r="A205" s="769" t="s">
        <v>165</v>
      </c>
      <c r="B205" s="769" t="s">
        <v>243</v>
      </c>
      <c r="C205" s="769"/>
      <c r="D205" s="896" t="s">
        <v>419</v>
      </c>
      <c r="E205" s="49" t="str">
        <f>VLOOKUP(BOM!D205,'RECAP MATIERE'!$A$17:$G$75,5,FALSE)</f>
        <v>EU28: Carton from folding boxboard</v>
      </c>
      <c r="F205" s="49" t="str">
        <f>VLOOKUP(BOM!D205,'RECAP MATIERE'!$A$17:$G$75,6,FALSE)</f>
        <v>N/A</v>
      </c>
      <c r="G205" s="896">
        <f>0.9*I205</f>
        <v>0.72000000000000008</v>
      </c>
      <c r="H205" s="773">
        <f t="shared" si="24"/>
        <v>0</v>
      </c>
      <c r="I205" s="896">
        <f t="shared" ref="I205" si="26">V204/U204</f>
        <v>0.8</v>
      </c>
      <c r="J205" s="786"/>
      <c r="K205" s="49" t="str">
        <f>VLOOKUP(BOM!D205,'RECAP MATIERE'!$A$17:$G$75,7,FALSE)</f>
        <v>N/A</v>
      </c>
      <c r="L205" s="34"/>
      <c r="M205" s="34"/>
      <c r="N205" s="34"/>
      <c r="O205" s="34"/>
      <c r="P205" s="30"/>
      <c r="Q205" s="30"/>
      <c r="R205" s="32" t="s">
        <v>161</v>
      </c>
      <c r="S205" s="34" t="s">
        <v>508</v>
      </c>
      <c r="T205" s="34">
        <v>0</v>
      </c>
      <c r="U205" s="34"/>
      <c r="V205" s="34"/>
      <c r="W205" s="30"/>
      <c r="X205" s="660"/>
      <c r="Y205" s="34"/>
    </row>
    <row r="206" spans="1:25" ht="28.8" x14ac:dyDescent="0.3">
      <c r="A206" s="769" t="s">
        <v>165</v>
      </c>
      <c r="B206" s="769" t="s">
        <v>243</v>
      </c>
      <c r="C206" s="769"/>
      <c r="D206" s="902" t="s">
        <v>500</v>
      </c>
      <c r="E206" s="49" t="str">
        <f>VLOOKUP(BOM!D206,'RECAP MATIERE'!$A$17:$G$75,5,FALSE)</f>
        <v>EU25: Graphic paper</v>
      </c>
      <c r="F206" s="49" t="str">
        <f>VLOOKUP(BOM!D206,'RECAP MATIERE'!$A$17:$G$75,6,FALSE)</f>
        <v>N/A</v>
      </c>
      <c r="G206" s="901">
        <f>0.1*I206</f>
        <v>8.0000000000000016E-2</v>
      </c>
      <c r="H206" s="773">
        <f t="shared" si="24"/>
        <v>0</v>
      </c>
      <c r="I206" s="896">
        <f>V204/U204</f>
        <v>0.8</v>
      </c>
      <c r="J206" s="786"/>
      <c r="K206" s="49" t="str">
        <f>VLOOKUP(BOM!D206,'RECAP MATIERE'!$A$17:$G$75,7,FALSE)</f>
        <v>N/A</v>
      </c>
      <c r="L206" s="34"/>
      <c r="M206" s="34"/>
      <c r="N206" s="34"/>
      <c r="O206" s="34"/>
      <c r="P206" s="30"/>
      <c r="Q206" s="30"/>
      <c r="R206" s="32" t="s">
        <v>161</v>
      </c>
      <c r="S206" s="34" t="s">
        <v>508</v>
      </c>
      <c r="T206" s="34">
        <v>0</v>
      </c>
      <c r="U206" s="34"/>
      <c r="V206" s="34"/>
      <c r="W206" s="30"/>
      <c r="X206" s="660"/>
      <c r="Y206" s="34"/>
    </row>
    <row r="207" spans="1:25" ht="43.2" x14ac:dyDescent="0.3">
      <c r="A207" s="769" t="s">
        <v>168</v>
      </c>
      <c r="B207" s="769" t="s">
        <v>169</v>
      </c>
      <c r="C207" s="769" t="s">
        <v>157</v>
      </c>
      <c r="D207" s="828" t="s">
        <v>249</v>
      </c>
      <c r="E207" s="49" t="str">
        <f>VLOOKUP(BOM!D207,'RECAP MATIERE'!$A$17:$G$75,5,FALSE)</f>
        <v>EU28: Polyurethane flexible foam, with flame retardant</v>
      </c>
      <c r="F207" s="49" t="str">
        <f>VLOOKUP(BOM!D207,'RECAP MATIERE'!$A$17:$G$75,6,FALSE)</f>
        <v>N/A</v>
      </c>
      <c r="G207" s="828">
        <v>1.091</v>
      </c>
      <c r="H207" s="773">
        <f t="shared" si="24"/>
        <v>0</v>
      </c>
      <c r="I207" s="828"/>
      <c r="J207" s="786"/>
      <c r="K207" s="49" t="str">
        <f>VLOOKUP(BOM!D207,'RECAP MATIERE'!$A$17:$G$75,7,FALSE)</f>
        <v>[Nation] Plastics in waste incineration plants</v>
      </c>
      <c r="L207" s="34"/>
      <c r="M207" s="34"/>
      <c r="N207" s="34"/>
      <c r="O207" s="34"/>
      <c r="P207" s="30" t="s">
        <v>504</v>
      </c>
      <c r="Q207" s="30" t="s">
        <v>160</v>
      </c>
      <c r="R207" s="32" t="s">
        <v>161</v>
      </c>
      <c r="S207" s="34" t="s">
        <v>509</v>
      </c>
      <c r="T207" s="34">
        <v>0</v>
      </c>
      <c r="U207" s="34">
        <v>4</v>
      </c>
      <c r="V207" s="34">
        <v>3.2</v>
      </c>
      <c r="W207" s="30">
        <v>1800</v>
      </c>
      <c r="X207" s="660" t="s">
        <v>44</v>
      </c>
      <c r="Y207" s="34"/>
    </row>
    <row r="208" spans="1:25" ht="43.2" x14ac:dyDescent="0.3">
      <c r="A208" s="769" t="s">
        <v>168</v>
      </c>
      <c r="B208" s="769" t="s">
        <v>169</v>
      </c>
      <c r="C208" s="769" t="s">
        <v>157</v>
      </c>
      <c r="D208" s="829" t="s">
        <v>266</v>
      </c>
      <c r="E208" s="49" t="str">
        <f>VLOOKUP(BOM!D208,'RECAP MATIERE'!$A$17:$G$75,5,FALSE)</f>
        <v>95% Wool/ 5%Nylon</v>
      </c>
      <c r="F208" s="49" t="str">
        <f>VLOOKUP(BOM!D208,'RECAP MATIERE'!$A$17:$G$75,6,FALSE)</f>
        <v>N/A</v>
      </c>
      <c r="G208" s="829">
        <v>0.71499999999999997</v>
      </c>
      <c r="H208" s="773">
        <f t="shared" si="24"/>
        <v>0</v>
      </c>
      <c r="I208" s="829"/>
      <c r="J208" s="786"/>
      <c r="K208" s="49" t="str">
        <f>VLOOKUP(BOM!D208,'RECAP MATIERE'!$A$17:$G$75,7,FALSE)</f>
        <v>[Nation] Plastics in waste incineration plants</v>
      </c>
      <c r="L208" s="34"/>
      <c r="M208" s="34"/>
      <c r="N208" s="34"/>
      <c r="O208" s="34"/>
      <c r="P208" s="30" t="s">
        <v>504</v>
      </c>
      <c r="Q208" s="30" t="s">
        <v>160</v>
      </c>
      <c r="R208" s="32" t="s">
        <v>161</v>
      </c>
      <c r="S208" s="34" t="s">
        <v>509</v>
      </c>
      <c r="T208" s="34">
        <v>0</v>
      </c>
      <c r="U208" s="34">
        <v>4</v>
      </c>
      <c r="V208" s="34">
        <v>3.2</v>
      </c>
      <c r="W208" s="30">
        <v>1800</v>
      </c>
      <c r="X208" s="660" t="s">
        <v>44</v>
      </c>
      <c r="Y208" s="34"/>
    </row>
    <row r="209" spans="1:25" ht="28.8" x14ac:dyDescent="0.3">
      <c r="A209" s="769" t="s">
        <v>168</v>
      </c>
      <c r="B209" s="769" t="s">
        <v>169</v>
      </c>
      <c r="C209" s="769" t="s">
        <v>157</v>
      </c>
      <c r="D209" s="806" t="s">
        <v>506</v>
      </c>
      <c r="E209" s="49" t="e">
        <f>VLOOKUP(BOM!D209,'RECAP MATIERE'!$A$17:$G$75,5,FALSE)</f>
        <v>#N/A</v>
      </c>
      <c r="F209" s="49" t="e">
        <f>VLOOKUP(BOM!D209,'RECAP MATIERE'!$A$17:$G$75,6,FALSE)</f>
        <v>#N/A</v>
      </c>
      <c r="G209" s="806">
        <v>2.1999999999999999E-2</v>
      </c>
      <c r="H209" s="773">
        <f t="shared" si="24"/>
        <v>0</v>
      </c>
      <c r="I209" s="806"/>
      <c r="J209" s="786"/>
      <c r="K209" s="49" t="e">
        <f>VLOOKUP(BOM!D209,'RECAP MATIERE'!$A$17:$G$75,7,FALSE)</f>
        <v>#N/A</v>
      </c>
      <c r="L209" s="34"/>
      <c r="M209" s="34"/>
      <c r="N209" s="34"/>
      <c r="O209" s="34"/>
      <c r="P209" s="30" t="s">
        <v>504</v>
      </c>
      <c r="Q209" s="30" t="s">
        <v>160</v>
      </c>
      <c r="R209" s="32" t="s">
        <v>161</v>
      </c>
      <c r="S209" s="34" t="s">
        <v>509</v>
      </c>
      <c r="T209" s="34">
        <v>0</v>
      </c>
      <c r="U209" s="34">
        <v>4</v>
      </c>
      <c r="V209" s="34">
        <v>3.2</v>
      </c>
      <c r="W209" s="30">
        <v>1800</v>
      </c>
      <c r="X209" s="660" t="s">
        <v>44</v>
      </c>
      <c r="Y209" s="34"/>
    </row>
    <row r="210" spans="1:25" ht="43.2" x14ac:dyDescent="0.3">
      <c r="A210" s="769" t="s">
        <v>168</v>
      </c>
      <c r="B210" s="769" t="s">
        <v>169</v>
      </c>
      <c r="C210" s="769" t="s">
        <v>157</v>
      </c>
      <c r="D210" s="770" t="s">
        <v>247</v>
      </c>
      <c r="E210" s="49" t="str">
        <f>VLOOKUP(BOM!D210,'RECAP MATIERE'!$A$17:$G$75,5,FALSE)</f>
        <v>EU28: Polyurethane flexible foam, with flame retardant
EU28: PA6.6 fibres</v>
      </c>
      <c r="F210" s="49" t="str">
        <f>VLOOKUP(BOM!D210,'RECAP MATIERE'!$A$17:$G$75,6,FALSE)</f>
        <v>N/A</v>
      </c>
      <c r="G210" s="770">
        <v>6.0000000000000001E-3</v>
      </c>
      <c r="H210" s="773">
        <f t="shared" si="24"/>
        <v>0</v>
      </c>
      <c r="I210" s="770"/>
      <c r="J210" s="786"/>
      <c r="K210" s="49" t="str">
        <f>VLOOKUP(BOM!D210,'RECAP MATIERE'!$A$17:$G$75,7,FALSE)</f>
        <v>[Nation] Plastics in waste incineration plants</v>
      </c>
      <c r="L210" s="34"/>
      <c r="M210" s="34"/>
      <c r="N210" s="34"/>
      <c r="O210" s="34"/>
      <c r="P210" s="30" t="s">
        <v>504</v>
      </c>
      <c r="Q210" s="30" t="s">
        <v>160</v>
      </c>
      <c r="R210" s="32" t="s">
        <v>161</v>
      </c>
      <c r="S210" s="34" t="s">
        <v>509</v>
      </c>
      <c r="T210" s="34">
        <v>0</v>
      </c>
      <c r="U210" s="34">
        <v>4</v>
      </c>
      <c r="V210" s="34">
        <v>3.2</v>
      </c>
      <c r="W210" s="30">
        <v>1800</v>
      </c>
      <c r="X210" s="660" t="s">
        <v>44</v>
      </c>
      <c r="Y210" s="34"/>
    </row>
    <row r="211" spans="1:25" x14ac:dyDescent="0.3">
      <c r="A211" s="769" t="s">
        <v>168</v>
      </c>
      <c r="B211" s="769" t="s">
        <v>243</v>
      </c>
      <c r="C211" s="769"/>
      <c r="D211" s="896" t="s">
        <v>419</v>
      </c>
      <c r="E211" s="49" t="str">
        <f>VLOOKUP(BOM!D211,'RECAP MATIERE'!$A$17:$G$75,5,FALSE)</f>
        <v>EU28: Carton from folding boxboard</v>
      </c>
      <c r="F211" s="49" t="str">
        <f>VLOOKUP(BOM!D211,'RECAP MATIERE'!$A$17:$G$75,6,FALSE)</f>
        <v>N/A</v>
      </c>
      <c r="G211" s="896">
        <f>0.9*I211</f>
        <v>0.72000000000000008</v>
      </c>
      <c r="H211" s="773">
        <f t="shared" si="24"/>
        <v>0</v>
      </c>
      <c r="I211" s="896">
        <f t="shared" ref="I211" si="27">V210/U210</f>
        <v>0.8</v>
      </c>
      <c r="J211" s="786"/>
      <c r="K211" s="49" t="str">
        <f>VLOOKUP(BOM!D211,'RECAP MATIERE'!$A$17:$G$75,7,FALSE)</f>
        <v>N/A</v>
      </c>
      <c r="L211" s="34"/>
      <c r="M211" s="34"/>
      <c r="N211" s="34"/>
      <c r="O211" s="34"/>
      <c r="P211" s="30"/>
      <c r="Q211" s="30"/>
      <c r="R211" s="32" t="s">
        <v>161</v>
      </c>
      <c r="S211" s="34" t="s">
        <v>509</v>
      </c>
      <c r="T211" s="34">
        <v>0</v>
      </c>
      <c r="U211" s="34"/>
      <c r="V211" s="34"/>
      <c r="W211" s="30"/>
      <c r="X211" s="660"/>
      <c r="Y211" s="34"/>
    </row>
    <row r="212" spans="1:25" x14ac:dyDescent="0.3">
      <c r="A212" s="769" t="s">
        <v>168</v>
      </c>
      <c r="B212" s="769" t="s">
        <v>243</v>
      </c>
      <c r="C212" s="769"/>
      <c r="D212" s="902" t="s">
        <v>500</v>
      </c>
      <c r="E212" s="49" t="str">
        <f>VLOOKUP(BOM!D212,'RECAP MATIERE'!$A$17:$G$75,5,FALSE)</f>
        <v>EU25: Graphic paper</v>
      </c>
      <c r="F212" s="49" t="str">
        <f>VLOOKUP(BOM!D212,'RECAP MATIERE'!$A$17:$G$75,6,FALSE)</f>
        <v>N/A</v>
      </c>
      <c r="G212" s="901">
        <f>0.1*I212</f>
        <v>8.0000000000000016E-2</v>
      </c>
      <c r="H212" s="773">
        <f t="shared" si="24"/>
        <v>0</v>
      </c>
      <c r="I212" s="896">
        <f>V210/U210</f>
        <v>0.8</v>
      </c>
      <c r="J212" s="786"/>
      <c r="K212" s="49" t="str">
        <f>VLOOKUP(BOM!D212,'RECAP MATIERE'!$A$17:$G$75,7,FALSE)</f>
        <v>N/A</v>
      </c>
      <c r="L212" s="34"/>
      <c r="M212" s="34"/>
      <c r="N212" s="34"/>
      <c r="O212" s="34"/>
      <c r="P212" s="30"/>
      <c r="Q212" s="30"/>
      <c r="R212" s="32" t="s">
        <v>161</v>
      </c>
      <c r="S212" s="34" t="s">
        <v>509</v>
      </c>
      <c r="T212" s="34">
        <v>0</v>
      </c>
      <c r="U212" s="34"/>
      <c r="V212" s="34"/>
      <c r="W212" s="30"/>
      <c r="X212" s="660"/>
      <c r="Y212" s="34"/>
    </row>
    <row r="213" spans="1:25" ht="43.2" x14ac:dyDescent="0.3">
      <c r="A213" s="769" t="s">
        <v>170</v>
      </c>
      <c r="B213" s="769" t="s">
        <v>171</v>
      </c>
      <c r="C213" s="769" t="s">
        <v>157</v>
      </c>
      <c r="D213" s="828" t="s">
        <v>249</v>
      </c>
      <c r="E213" s="49" t="str">
        <f>VLOOKUP(BOM!D213,'RECAP MATIERE'!$A$17:$G$75,5,FALSE)</f>
        <v>EU28: Polyurethane flexible foam, with flame retardant</v>
      </c>
      <c r="F213" s="49" t="str">
        <f>VLOOKUP(BOM!D213,'RECAP MATIERE'!$A$17:$G$75,6,FALSE)</f>
        <v>N/A</v>
      </c>
      <c r="G213" s="828">
        <v>0.871</v>
      </c>
      <c r="H213" s="773">
        <f t="shared" si="24"/>
        <v>0</v>
      </c>
      <c r="I213" s="828"/>
      <c r="J213" s="786"/>
      <c r="K213" s="49" t="str">
        <f>VLOOKUP(BOM!D213,'RECAP MATIERE'!$A$17:$G$75,7,FALSE)</f>
        <v>[Nation] Plastics in waste incineration plants</v>
      </c>
      <c r="L213" s="34"/>
      <c r="M213" s="34"/>
      <c r="N213" s="34"/>
      <c r="O213" s="34"/>
      <c r="P213" s="30" t="s">
        <v>504</v>
      </c>
      <c r="Q213" s="30" t="s">
        <v>160</v>
      </c>
      <c r="R213" s="32" t="s">
        <v>161</v>
      </c>
      <c r="S213" s="34" t="s">
        <v>505</v>
      </c>
      <c r="T213" s="34">
        <v>0</v>
      </c>
      <c r="U213" s="34">
        <v>4</v>
      </c>
      <c r="V213" s="34">
        <v>2.9</v>
      </c>
      <c r="W213" s="30">
        <v>1800</v>
      </c>
      <c r="X213" s="660" t="s">
        <v>44</v>
      </c>
      <c r="Y213" s="34"/>
    </row>
    <row r="214" spans="1:25" ht="43.2" x14ac:dyDescent="0.3">
      <c r="A214" s="769" t="s">
        <v>170</v>
      </c>
      <c r="B214" s="769" t="s">
        <v>171</v>
      </c>
      <c r="C214" s="769" t="s">
        <v>157</v>
      </c>
      <c r="D214" s="829" t="s">
        <v>266</v>
      </c>
      <c r="E214" s="49" t="str">
        <f>VLOOKUP(BOM!D214,'RECAP MATIERE'!$A$17:$G$75,5,FALSE)</f>
        <v>95% Wool/ 5%Nylon</v>
      </c>
      <c r="F214" s="49" t="str">
        <f>VLOOKUP(BOM!D214,'RECAP MATIERE'!$A$17:$G$75,6,FALSE)</f>
        <v>N/A</v>
      </c>
      <c r="G214" s="829">
        <v>0.39500000000000002</v>
      </c>
      <c r="H214" s="773">
        <f t="shared" si="24"/>
        <v>0</v>
      </c>
      <c r="I214" s="829"/>
      <c r="J214" s="786"/>
      <c r="K214" s="49" t="str">
        <f>VLOOKUP(BOM!D214,'RECAP MATIERE'!$A$17:$G$75,7,FALSE)</f>
        <v>[Nation] Plastics in waste incineration plants</v>
      </c>
      <c r="L214" s="34"/>
      <c r="M214" s="34"/>
      <c r="N214" s="34"/>
      <c r="O214" s="34"/>
      <c r="P214" s="30" t="s">
        <v>504</v>
      </c>
      <c r="Q214" s="30" t="s">
        <v>160</v>
      </c>
      <c r="R214" s="32" t="s">
        <v>161</v>
      </c>
      <c r="S214" s="34" t="s">
        <v>505</v>
      </c>
      <c r="T214" s="34">
        <v>0</v>
      </c>
      <c r="U214" s="34">
        <v>4</v>
      </c>
      <c r="V214" s="34">
        <v>2.9</v>
      </c>
      <c r="W214" s="30">
        <v>1800</v>
      </c>
      <c r="X214" s="660" t="s">
        <v>44</v>
      </c>
      <c r="Y214" s="34"/>
    </row>
    <row r="215" spans="1:25" ht="28.8" x14ac:dyDescent="0.3">
      <c r="A215" s="769" t="s">
        <v>170</v>
      </c>
      <c r="B215" s="769" t="s">
        <v>171</v>
      </c>
      <c r="C215" s="769" t="s">
        <v>157</v>
      </c>
      <c r="D215" s="806" t="s">
        <v>506</v>
      </c>
      <c r="E215" s="49" t="e">
        <f>VLOOKUP(BOM!D215,'RECAP MATIERE'!$A$17:$G$75,5,FALSE)</f>
        <v>#N/A</v>
      </c>
      <c r="F215" s="49" t="e">
        <f>VLOOKUP(BOM!D215,'RECAP MATIERE'!$A$17:$G$75,6,FALSE)</f>
        <v>#N/A</v>
      </c>
      <c r="G215" s="806">
        <v>2.5000000000000001E-2</v>
      </c>
      <c r="H215" s="773">
        <f t="shared" si="24"/>
        <v>0</v>
      </c>
      <c r="I215" s="806"/>
      <c r="J215" s="786"/>
      <c r="K215" s="49" t="e">
        <f>VLOOKUP(BOM!D215,'RECAP MATIERE'!$A$17:$G$75,7,FALSE)</f>
        <v>#N/A</v>
      </c>
      <c r="L215" s="34"/>
      <c r="M215" s="34"/>
      <c r="N215" s="34"/>
      <c r="O215" s="34"/>
      <c r="P215" s="30" t="s">
        <v>504</v>
      </c>
      <c r="Q215" s="30" t="s">
        <v>160</v>
      </c>
      <c r="R215" s="32" t="s">
        <v>161</v>
      </c>
      <c r="S215" s="34" t="s">
        <v>505</v>
      </c>
      <c r="T215" s="34">
        <v>0</v>
      </c>
      <c r="U215" s="34">
        <v>4</v>
      </c>
      <c r="V215" s="34">
        <v>2.9</v>
      </c>
      <c r="W215" s="30">
        <v>1800</v>
      </c>
      <c r="X215" s="660" t="s">
        <v>44</v>
      </c>
      <c r="Y215" s="34"/>
    </row>
    <row r="216" spans="1:25" x14ac:dyDescent="0.3">
      <c r="A216" s="769" t="s">
        <v>170</v>
      </c>
      <c r="B216" s="769" t="s">
        <v>243</v>
      </c>
      <c r="C216" s="769"/>
      <c r="D216" s="896" t="s">
        <v>419</v>
      </c>
      <c r="E216" s="49" t="str">
        <f>VLOOKUP(BOM!D216,'RECAP MATIERE'!$A$17:$G$75,5,FALSE)</f>
        <v>EU28: Carton from folding boxboard</v>
      </c>
      <c r="F216" s="49" t="str">
        <f>VLOOKUP(BOM!D216,'RECAP MATIERE'!$A$17:$G$75,6,FALSE)</f>
        <v>N/A</v>
      </c>
      <c r="G216" s="896">
        <f>0.9*I216</f>
        <v>0.65249999999999997</v>
      </c>
      <c r="H216" s="773">
        <f t="shared" si="24"/>
        <v>0</v>
      </c>
      <c r="I216" s="896">
        <f t="shared" ref="I216" si="28">V215/U215</f>
        <v>0.72499999999999998</v>
      </c>
      <c r="J216" s="786"/>
      <c r="K216" s="49" t="str">
        <f>VLOOKUP(BOM!D216,'RECAP MATIERE'!$A$17:$G$75,7,FALSE)</f>
        <v>N/A</v>
      </c>
      <c r="L216" s="34"/>
      <c r="M216" s="34"/>
      <c r="N216" s="34"/>
      <c r="O216" s="34"/>
      <c r="P216" s="30"/>
      <c r="Q216" s="30"/>
      <c r="R216" s="32" t="s">
        <v>161</v>
      </c>
      <c r="S216" s="34" t="s">
        <v>505</v>
      </c>
      <c r="T216" s="34">
        <v>0</v>
      </c>
      <c r="U216" s="34"/>
      <c r="V216" s="34"/>
      <c r="W216" s="30"/>
      <c r="X216" s="660"/>
      <c r="Y216" s="34"/>
    </row>
    <row r="217" spans="1:25" x14ac:dyDescent="0.3">
      <c r="A217" s="769" t="s">
        <v>170</v>
      </c>
      <c r="B217" s="769" t="s">
        <v>243</v>
      </c>
      <c r="C217" s="769"/>
      <c r="D217" s="902" t="s">
        <v>500</v>
      </c>
      <c r="E217" s="49" t="str">
        <f>VLOOKUP(BOM!D217,'RECAP MATIERE'!$A$17:$G$75,5,FALSE)</f>
        <v>EU25: Graphic paper</v>
      </c>
      <c r="F217" s="49" t="str">
        <f>VLOOKUP(BOM!D217,'RECAP MATIERE'!$A$17:$G$75,6,FALSE)</f>
        <v>N/A</v>
      </c>
      <c r="G217" s="901">
        <f>0.1*I217</f>
        <v>7.2499999999999995E-2</v>
      </c>
      <c r="H217" s="773">
        <f t="shared" si="24"/>
        <v>0</v>
      </c>
      <c r="I217" s="896">
        <f>V215/U215</f>
        <v>0.72499999999999998</v>
      </c>
      <c r="J217" s="786"/>
      <c r="K217" s="49" t="str">
        <f>VLOOKUP(BOM!D217,'RECAP MATIERE'!$A$17:$G$75,7,FALSE)</f>
        <v>N/A</v>
      </c>
      <c r="L217" s="34"/>
      <c r="M217" s="34"/>
      <c r="N217" s="34"/>
      <c r="O217" s="34"/>
      <c r="P217" s="30"/>
      <c r="Q217" s="30"/>
      <c r="R217" s="32" t="s">
        <v>161</v>
      </c>
      <c r="S217" s="34" t="s">
        <v>505</v>
      </c>
      <c r="T217" s="34">
        <v>0</v>
      </c>
      <c r="U217" s="34"/>
      <c r="V217" s="34"/>
      <c r="W217" s="30"/>
      <c r="X217" s="660"/>
      <c r="Y217" s="34"/>
    </row>
    <row r="218" spans="1:25" ht="28.8" x14ac:dyDescent="0.3">
      <c r="A218" s="769" t="s">
        <v>510</v>
      </c>
      <c r="B218" s="771" t="s">
        <v>182</v>
      </c>
      <c r="C218" s="34"/>
      <c r="D218" s="34" t="s">
        <v>371</v>
      </c>
      <c r="E218" s="49" t="str">
        <f>VLOOKUP(BOM!D218,'RECAP MATIERE'!$A$17:$G$75,5,FALSE)</f>
        <v xml:space="preserve">70% EU25: Copper wire
30%: DE: PTFE granulate </v>
      </c>
      <c r="F218" s="49" t="str">
        <f>VLOOKUP(BOM!D218,'RECAP MATIERE'!$A$17:$G$75,6,FALSE)</f>
        <v>N/A</v>
      </c>
      <c r="G218" s="771">
        <v>3.3649999999999998</v>
      </c>
      <c r="H218" s="773">
        <f t="shared" si="24"/>
        <v>0</v>
      </c>
      <c r="I218" s="771"/>
      <c r="J218" s="34"/>
      <c r="K218" s="49" t="str">
        <f>VLOOKUP(BOM!D218,'RECAP MATIERE'!$A$17:$G$75,7,FALSE)</f>
        <v>N/A</v>
      </c>
      <c r="L218" s="34"/>
      <c r="M218" s="34"/>
      <c r="N218" s="34"/>
      <c r="O218" s="34"/>
      <c r="P218" s="35"/>
      <c r="Q218" s="771"/>
      <c r="R218" s="769"/>
      <c r="S218" s="34" t="s">
        <v>511</v>
      </c>
      <c r="T218" s="34"/>
      <c r="U218" s="34">
        <v>1</v>
      </c>
      <c r="V218" s="34">
        <v>0.1</v>
      </c>
      <c r="W218" s="771">
        <v>176</v>
      </c>
      <c r="X218" s="889"/>
      <c r="Y218" s="34"/>
    </row>
    <row r="219" spans="1:25" x14ac:dyDescent="0.3">
      <c r="A219" s="769" t="s">
        <v>510</v>
      </c>
      <c r="B219" s="769" t="s">
        <v>243</v>
      </c>
      <c r="C219" s="34"/>
      <c r="D219" s="899" t="s">
        <v>464</v>
      </c>
      <c r="E219" s="49" t="str">
        <f>VLOOKUP(BOM!D219,'RECAP MATIERE'!$A$17:$G$75,5,FALSE)</f>
        <v>RER: Polyethylene film (PE-LD)</v>
      </c>
      <c r="F219" s="49" t="str">
        <f>VLOOKUP(BOM!D219,'RECAP MATIERE'!$A$17:$G$75,6,FALSE)</f>
        <v>N/A</v>
      </c>
      <c r="G219" s="771">
        <f>0.9*I219</f>
        <v>9.0000000000000011E-2</v>
      </c>
      <c r="H219" s="773"/>
      <c r="I219" s="771">
        <f>V218/U218</f>
        <v>0.1</v>
      </c>
      <c r="J219" s="34"/>
      <c r="K219" s="49" t="str">
        <f>VLOOKUP(BOM!D219,'RECAP MATIERE'!$A$17:$G$75,7,FALSE)</f>
        <v>N/A</v>
      </c>
      <c r="L219" s="34"/>
      <c r="M219" s="34"/>
      <c r="N219" s="34"/>
      <c r="O219" s="34"/>
      <c r="P219" s="35"/>
      <c r="Q219" s="771"/>
      <c r="R219" s="769"/>
      <c r="S219" s="34"/>
      <c r="T219" s="34"/>
      <c r="U219" s="34"/>
      <c r="V219" s="34"/>
      <c r="W219" s="771"/>
      <c r="X219" s="889"/>
      <c r="Y219" s="34"/>
    </row>
    <row r="220" spans="1:25" x14ac:dyDescent="0.3">
      <c r="A220" s="769" t="s">
        <v>510</v>
      </c>
      <c r="B220" s="769" t="s">
        <v>243</v>
      </c>
      <c r="C220" s="34"/>
      <c r="D220" s="983" t="s">
        <v>512</v>
      </c>
      <c r="E220" s="49">
        <f>VLOOKUP(BOM!D220,'RECAP MATIERE'!$A$17:$G$75,5,FALSE)</f>
        <v>0</v>
      </c>
      <c r="F220" s="49" t="str">
        <f>VLOOKUP(BOM!D220,'RECAP MATIERE'!$A$17:$G$75,6,FALSE)</f>
        <v>N/A</v>
      </c>
      <c r="G220" s="771">
        <f>0.1*I220</f>
        <v>1.0000000000000002E-2</v>
      </c>
      <c r="H220" s="773"/>
      <c r="I220" s="771">
        <f>V218/U218</f>
        <v>0.1</v>
      </c>
      <c r="J220" s="34"/>
      <c r="K220" s="49" t="str">
        <f>VLOOKUP(BOM!D220,'RECAP MATIERE'!$A$17:$G$75,7,FALSE)</f>
        <v>N/A</v>
      </c>
      <c r="L220" s="34"/>
      <c r="M220" s="34"/>
      <c r="N220" s="34"/>
      <c r="O220" s="34"/>
      <c r="P220" s="35"/>
      <c r="Q220" s="771"/>
      <c r="R220" s="769"/>
      <c r="S220" s="34"/>
      <c r="T220" s="34"/>
      <c r="U220" s="34"/>
      <c r="V220" s="34"/>
      <c r="W220" s="771"/>
      <c r="X220" s="889"/>
      <c r="Y220" s="34"/>
    </row>
    <row r="221" spans="1:25" ht="100.8" x14ac:dyDescent="0.3">
      <c r="A221" s="31" t="s">
        <v>172</v>
      </c>
      <c r="B221" s="786"/>
      <c r="C221" s="34"/>
      <c r="D221" s="982" t="s">
        <v>374</v>
      </c>
      <c r="E221" s="49" t="e">
        <f>VLOOKUP(BOM!D221,'RECAP MATIERE'!$A$17:$G$75,5,FALSE)</f>
        <v>#N/A</v>
      </c>
      <c r="F221" s="49" t="e">
        <f>VLOOKUP(BOM!D221,'RECAP MATIERE'!$A$17:$G$75,6,FALSE)</f>
        <v>#N/A</v>
      </c>
      <c r="G221" s="30">
        <v>2.5680000000000001</v>
      </c>
      <c r="H221" s="773">
        <f t="shared" si="24"/>
        <v>0</v>
      </c>
      <c r="I221" s="30"/>
      <c r="J221" s="34"/>
      <c r="K221" s="49" t="e">
        <f>VLOOKUP(BOM!D221,'RECAP MATIERE'!$A$17:$G$75,7,FALSE)</f>
        <v>#N/A</v>
      </c>
      <c r="L221" s="34"/>
      <c r="M221" s="34"/>
      <c r="N221" s="34"/>
      <c r="O221" s="34"/>
      <c r="P221" s="35"/>
      <c r="Q221" s="786"/>
      <c r="R221" s="786"/>
      <c r="S221" s="891" t="s">
        <v>513</v>
      </c>
      <c r="T221" s="34"/>
      <c r="U221" s="34">
        <v>5000</v>
      </c>
      <c r="V221" s="34">
        <v>2</v>
      </c>
      <c r="W221" s="35"/>
      <c r="X221" s="889"/>
      <c r="Y221" s="34"/>
    </row>
    <row r="222" spans="1:25" x14ac:dyDescent="0.3">
      <c r="A222" s="31" t="s">
        <v>172</v>
      </c>
      <c r="B222" s="769" t="s">
        <v>243</v>
      </c>
      <c r="C222" s="34"/>
      <c r="D222" s="896" t="s">
        <v>419</v>
      </c>
      <c r="E222" s="49" t="str">
        <f>VLOOKUP(BOM!D222,'RECAP MATIERE'!$A$17:$G$75,5,FALSE)</f>
        <v>EU28: Carton from folding boxboard</v>
      </c>
      <c r="F222" s="49" t="str">
        <f>VLOOKUP(BOM!D222,'RECAP MATIERE'!$A$17:$G$75,6,FALSE)</f>
        <v>N/A</v>
      </c>
      <c r="G222" s="30">
        <f>0.9*I222</f>
        <v>3.6000000000000002E-4</v>
      </c>
      <c r="H222" s="773"/>
      <c r="I222" s="30">
        <f>V221/U221</f>
        <v>4.0000000000000002E-4</v>
      </c>
      <c r="J222" s="34"/>
      <c r="K222" s="49"/>
      <c r="L222" s="34"/>
      <c r="M222" s="34"/>
      <c r="N222" s="34"/>
      <c r="O222" s="34"/>
      <c r="P222" s="35"/>
      <c r="Q222" s="786"/>
      <c r="R222" s="786"/>
      <c r="S222" s="891"/>
      <c r="T222" s="34"/>
      <c r="U222" s="34"/>
      <c r="V222" s="34"/>
      <c r="W222" s="35"/>
      <c r="X222" s="889"/>
      <c r="Y222" s="34"/>
    </row>
    <row r="223" spans="1:25" x14ac:dyDescent="0.3">
      <c r="A223" s="31" t="s">
        <v>172</v>
      </c>
      <c r="B223" s="769" t="s">
        <v>243</v>
      </c>
      <c r="C223" s="34"/>
      <c r="D223" s="983" t="s">
        <v>512</v>
      </c>
      <c r="E223" s="49">
        <f>VLOOKUP(BOM!D223,'RECAP MATIERE'!$A$17:$G$75,5,FALSE)</f>
        <v>0</v>
      </c>
      <c r="F223" s="49" t="str">
        <f>VLOOKUP(BOM!D223,'RECAP MATIERE'!$A$17:$G$75,6,FALSE)</f>
        <v>N/A</v>
      </c>
      <c r="G223" s="30">
        <f>0.1*I223</f>
        <v>4.0000000000000003E-5</v>
      </c>
      <c r="H223" s="773"/>
      <c r="I223" s="30">
        <f>V221/U221</f>
        <v>4.0000000000000002E-4</v>
      </c>
      <c r="J223" s="34"/>
      <c r="K223" s="49"/>
      <c r="L223" s="34"/>
      <c r="M223" s="34"/>
      <c r="N223" s="34"/>
      <c r="O223" s="34"/>
      <c r="P223" s="35"/>
      <c r="Q223" s="786"/>
      <c r="R223" s="786"/>
      <c r="S223" s="891"/>
      <c r="T223" s="34"/>
      <c r="U223" s="34"/>
      <c r="V223" s="34"/>
      <c r="W223" s="35"/>
      <c r="X223" s="889"/>
      <c r="Y223" s="34"/>
    </row>
    <row r="224" spans="1:25" x14ac:dyDescent="0.3">
      <c r="A224" s="31" t="s">
        <v>173</v>
      </c>
      <c r="B224" s="786"/>
      <c r="C224" s="34"/>
      <c r="D224" s="34" t="s">
        <v>376</v>
      </c>
      <c r="E224" s="49" t="e">
        <f>VLOOKUP(BOM!D224,'RECAP MATIERE'!$A$17:$G$75,5,FALSE)</f>
        <v>#N/A</v>
      </c>
      <c r="F224" s="49" t="e">
        <f>VLOOKUP(BOM!D224,'RECAP MATIERE'!$A$17:$G$75,6,FALSE)</f>
        <v>#N/A</v>
      </c>
      <c r="G224" s="30">
        <v>0.9</v>
      </c>
      <c r="H224" s="773">
        <f t="shared" si="24"/>
        <v>0</v>
      </c>
      <c r="I224" s="30"/>
      <c r="J224" s="34"/>
      <c r="K224" s="49" t="e">
        <f>VLOOKUP(BOM!D224,'RECAP MATIERE'!$A$17:$G$75,7,FALSE)</f>
        <v>#N/A</v>
      </c>
      <c r="L224" s="34"/>
      <c r="M224" s="34"/>
      <c r="N224" s="34"/>
      <c r="O224" s="34"/>
      <c r="P224" s="35"/>
      <c r="Q224" s="786" t="s">
        <v>514</v>
      </c>
      <c r="R224" s="786" t="s">
        <v>175</v>
      </c>
      <c r="S224" s="34" t="s">
        <v>515</v>
      </c>
      <c r="T224" s="34"/>
      <c r="U224" s="34">
        <v>10</v>
      </c>
      <c r="V224" s="34">
        <v>1</v>
      </c>
      <c r="W224" s="35"/>
      <c r="X224" s="889"/>
      <c r="Y224" s="34"/>
    </row>
    <row r="225" spans="1:25" x14ac:dyDescent="0.3">
      <c r="A225" s="31" t="s">
        <v>173</v>
      </c>
      <c r="B225" s="769" t="s">
        <v>243</v>
      </c>
      <c r="C225" s="34"/>
      <c r="D225" s="896" t="s">
        <v>419</v>
      </c>
      <c r="E225" s="49" t="str">
        <f>VLOOKUP(BOM!D225,'RECAP MATIERE'!$A$17:$G$75,5,FALSE)</f>
        <v>EU28: Carton from folding boxboard</v>
      </c>
      <c r="F225" s="49" t="str">
        <f>VLOOKUP(BOM!D225,'RECAP MATIERE'!$A$17:$G$75,6,FALSE)</f>
        <v>N/A</v>
      </c>
      <c r="G225" s="30">
        <f>0.9*I225</f>
        <v>9.0000000000000011E-2</v>
      </c>
      <c r="H225" s="773"/>
      <c r="I225" s="30">
        <f>V224/U224</f>
        <v>0.1</v>
      </c>
      <c r="J225" s="34"/>
      <c r="K225" s="49"/>
      <c r="L225" s="34"/>
      <c r="M225" s="34"/>
      <c r="N225" s="34"/>
      <c r="O225" s="34"/>
      <c r="P225" s="35"/>
      <c r="Q225" s="786"/>
      <c r="R225" s="786"/>
      <c r="S225" s="34"/>
      <c r="T225" s="34"/>
      <c r="U225" s="34"/>
      <c r="V225" s="34"/>
      <c r="W225" s="35"/>
      <c r="X225" s="889"/>
      <c r="Y225" s="34"/>
    </row>
    <row r="226" spans="1:25" x14ac:dyDescent="0.3">
      <c r="A226" s="31" t="s">
        <v>173</v>
      </c>
      <c r="B226" s="769" t="s">
        <v>243</v>
      </c>
      <c r="C226" s="34"/>
      <c r="D226" s="899" t="s">
        <v>464</v>
      </c>
      <c r="E226" s="49" t="str">
        <f>VLOOKUP(BOM!D226,'RECAP MATIERE'!$A$17:$G$75,5,FALSE)</f>
        <v>RER: Polyethylene film (PE-LD)</v>
      </c>
      <c r="F226" s="49" t="str">
        <f>VLOOKUP(BOM!D226,'RECAP MATIERE'!$A$17:$G$75,6,FALSE)</f>
        <v>N/A</v>
      </c>
      <c r="G226" s="30"/>
      <c r="H226" s="773"/>
      <c r="I226" s="30">
        <f>V224/U224</f>
        <v>0.1</v>
      </c>
      <c r="J226" s="34"/>
      <c r="K226" s="49"/>
      <c r="L226" s="34"/>
      <c r="M226" s="34"/>
      <c r="N226" s="34"/>
      <c r="O226" s="34"/>
      <c r="P226" s="35"/>
      <c r="Q226" s="786"/>
      <c r="R226" s="786"/>
      <c r="S226" s="34"/>
      <c r="T226" s="34"/>
      <c r="U226" s="34"/>
      <c r="V226" s="34"/>
      <c r="W226" s="35"/>
      <c r="X226" s="889"/>
      <c r="Y226" s="34"/>
    </row>
    <row r="227" spans="1:25" x14ac:dyDescent="0.3">
      <c r="A227" s="31" t="s">
        <v>176</v>
      </c>
      <c r="B227" s="786"/>
      <c r="C227" s="34"/>
      <c r="D227" s="34" t="s">
        <v>177</v>
      </c>
      <c r="E227" s="49" t="e">
        <f>VLOOKUP(BOM!D227,'RECAP MATIERE'!$A$17:$G$75,5,FALSE)</f>
        <v>#N/A</v>
      </c>
      <c r="F227" s="49" t="e">
        <f>VLOOKUP(BOM!D227,'RECAP MATIERE'!$A$17:$G$75,6,FALSE)</f>
        <v>#N/A</v>
      </c>
      <c r="G227" s="30">
        <v>0.95</v>
      </c>
      <c r="H227" s="773">
        <f t="shared" si="24"/>
        <v>0</v>
      </c>
      <c r="I227" s="30"/>
      <c r="J227" s="34"/>
      <c r="K227" s="49" t="e">
        <f>VLOOKUP(BOM!D227,'RECAP MATIERE'!$A$17:$G$75,7,FALSE)</f>
        <v>#N/A</v>
      </c>
      <c r="L227" s="34"/>
      <c r="M227" s="34"/>
      <c r="N227" s="34"/>
      <c r="O227" s="34"/>
      <c r="P227" s="35"/>
      <c r="Q227" s="786" t="s">
        <v>178</v>
      </c>
      <c r="R227" s="786" t="s">
        <v>516</v>
      </c>
      <c r="S227" s="34" t="s">
        <v>257</v>
      </c>
      <c r="T227" s="34"/>
      <c r="U227" s="34">
        <v>1</v>
      </c>
      <c r="V227" s="34">
        <v>1</v>
      </c>
      <c r="W227" s="35"/>
      <c r="X227" s="889"/>
      <c r="Y227" s="34"/>
    </row>
    <row r="228" spans="1:25" x14ac:dyDescent="0.3">
      <c r="A228" s="31" t="s">
        <v>176</v>
      </c>
      <c r="B228" s="786"/>
      <c r="C228" s="34"/>
      <c r="D228" s="34" t="s">
        <v>517</v>
      </c>
      <c r="E228" s="49" t="e">
        <f>VLOOKUP(BOM!D228,'RECAP MATIERE'!$A$17:$G$75,5,FALSE)</f>
        <v>#N/A</v>
      </c>
      <c r="F228" s="49" t="e">
        <f>VLOOKUP(BOM!D228,'RECAP MATIERE'!$A$17:$G$75,6,FALSE)</f>
        <v>#N/A</v>
      </c>
      <c r="G228" s="30">
        <v>0.3</v>
      </c>
      <c r="H228" s="773">
        <f t="shared" si="24"/>
        <v>0</v>
      </c>
      <c r="I228" s="30"/>
      <c r="J228" s="34"/>
      <c r="K228" s="49" t="e">
        <f>VLOOKUP(BOM!D228,'RECAP MATIERE'!$A$17:$G$75,7,FALSE)</f>
        <v>#N/A</v>
      </c>
      <c r="L228" s="34"/>
      <c r="M228" s="34"/>
      <c r="N228" s="34"/>
      <c r="O228" s="34"/>
      <c r="P228" s="35"/>
      <c r="Q228" s="786" t="s">
        <v>178</v>
      </c>
      <c r="R228" s="786" t="s">
        <v>516</v>
      </c>
      <c r="S228" s="34" t="s">
        <v>257</v>
      </c>
      <c r="T228" s="34"/>
      <c r="U228" s="34">
        <v>1</v>
      </c>
      <c r="V228" s="34">
        <v>1</v>
      </c>
      <c r="W228" s="35"/>
      <c r="X228" s="889"/>
      <c r="Y228" s="34"/>
    </row>
    <row r="229" spans="1:25" x14ac:dyDescent="0.3">
      <c r="A229" s="31" t="s">
        <v>176</v>
      </c>
      <c r="B229" s="769" t="s">
        <v>243</v>
      </c>
      <c r="C229" s="34"/>
      <c r="D229" s="896" t="s">
        <v>419</v>
      </c>
      <c r="E229" s="49" t="str">
        <f>VLOOKUP(BOM!D229,'RECAP MATIERE'!$A$17:$G$75,5,FALSE)</f>
        <v>EU28: Carton from folding boxboard</v>
      </c>
      <c r="F229" s="49" t="str">
        <f>VLOOKUP(BOM!D229,'RECAP MATIERE'!$A$17:$G$75,6,FALSE)</f>
        <v>N/A</v>
      </c>
      <c r="G229" s="30">
        <f>I229</f>
        <v>1</v>
      </c>
      <c r="H229" s="773"/>
      <c r="I229" s="30">
        <f>V228/U228</f>
        <v>1</v>
      </c>
      <c r="J229" s="34"/>
      <c r="K229" s="49"/>
      <c r="L229" s="34"/>
      <c r="M229" s="34"/>
      <c r="N229" s="34"/>
      <c r="O229" s="34"/>
      <c r="P229" s="35"/>
      <c r="Q229" s="786"/>
      <c r="R229" s="786"/>
      <c r="S229" s="34"/>
      <c r="T229" s="34"/>
      <c r="U229" s="34"/>
      <c r="V229" s="34"/>
      <c r="W229" s="35"/>
      <c r="X229" s="889"/>
      <c r="Y229" s="34"/>
    </row>
    <row r="230" spans="1:25" ht="28.8" x14ac:dyDescent="0.3">
      <c r="A230" s="31" t="s">
        <v>183</v>
      </c>
      <c r="B230" s="786"/>
      <c r="C230" s="34"/>
      <c r="D230" s="34" t="s">
        <v>377</v>
      </c>
      <c r="E230" s="49" t="str">
        <f>VLOOKUP(BOM!D230,'RECAP MATIERE'!$A$17:$G$75,5,FALSE)</f>
        <v>Power supply unit, at plant, CN U (fit for mass needed)</v>
      </c>
      <c r="F230" s="49" t="str">
        <f>VLOOKUP(BOM!D230,'RECAP MATIERE'!$A$17:$G$75,6,FALSE)</f>
        <v>N/A</v>
      </c>
      <c r="G230" s="30">
        <v>1.5</v>
      </c>
      <c r="H230" s="773">
        <f t="shared" si="24"/>
        <v>0</v>
      </c>
      <c r="I230" s="30"/>
      <c r="J230" s="34"/>
      <c r="K230" s="49" t="str">
        <f>VLOOKUP(BOM!D230,'RECAP MATIERE'!$A$17:$G$75,7,FALSE)</f>
        <v>N/A</v>
      </c>
      <c r="L230" s="34"/>
      <c r="M230" s="34"/>
      <c r="N230" s="34"/>
      <c r="O230" s="34"/>
      <c r="P230" s="35"/>
      <c r="Q230" s="30" t="s">
        <v>184</v>
      </c>
      <c r="R230" s="32" t="s">
        <v>185</v>
      </c>
      <c r="S230" s="34" t="s">
        <v>518</v>
      </c>
      <c r="T230" s="34"/>
      <c r="U230" s="34">
        <v>1</v>
      </c>
      <c r="V230" s="34">
        <v>1</v>
      </c>
      <c r="W230" s="35"/>
      <c r="X230" s="889"/>
      <c r="Y230" s="34"/>
    </row>
    <row r="231" spans="1:25" ht="28.8" x14ac:dyDescent="0.3">
      <c r="A231" s="31" t="s">
        <v>183</v>
      </c>
      <c r="B231" s="769" t="s">
        <v>243</v>
      </c>
      <c r="C231" s="34"/>
      <c r="D231" s="896" t="s">
        <v>419</v>
      </c>
      <c r="E231" s="49" t="str">
        <f>VLOOKUP(BOM!D231,'RECAP MATIERE'!$A$17:$G$75,5,FALSE)</f>
        <v>EU28: Carton from folding boxboard</v>
      </c>
      <c r="F231" s="49" t="str">
        <f>VLOOKUP(BOM!D231,'RECAP MATIERE'!$A$17:$G$75,6,FALSE)</f>
        <v>N/A</v>
      </c>
      <c r="G231" s="30">
        <f>0.9*I231</f>
        <v>0.9</v>
      </c>
      <c r="H231" s="773"/>
      <c r="I231" s="30">
        <f>V230/U230</f>
        <v>1</v>
      </c>
      <c r="J231" s="34"/>
      <c r="K231" s="49"/>
      <c r="L231" s="34"/>
      <c r="M231" s="34"/>
      <c r="N231" s="34"/>
      <c r="O231" s="34"/>
      <c r="P231" s="35"/>
      <c r="Q231" s="30"/>
      <c r="R231" s="32"/>
      <c r="S231" s="34"/>
      <c r="T231" s="34"/>
      <c r="U231" s="34"/>
      <c r="V231" s="34"/>
      <c r="W231" s="35"/>
      <c r="X231" s="889"/>
      <c r="Y231" s="34"/>
    </row>
    <row r="232" spans="1:25" ht="28.8" x14ac:dyDescent="0.3">
      <c r="A232" s="31" t="s">
        <v>183</v>
      </c>
      <c r="B232" s="769" t="s">
        <v>243</v>
      </c>
      <c r="C232" s="34"/>
      <c r="D232" s="983" t="s">
        <v>512</v>
      </c>
      <c r="E232" s="49">
        <f>VLOOKUP(BOM!D232,'RECAP MATIERE'!$A$17:$G$75,5,FALSE)</f>
        <v>0</v>
      </c>
      <c r="F232" s="49" t="str">
        <f>VLOOKUP(BOM!D232,'RECAP MATIERE'!$A$17:$G$75,6,FALSE)</f>
        <v>N/A</v>
      </c>
      <c r="G232" s="30">
        <f>0.1*I232</f>
        <v>0.1</v>
      </c>
      <c r="H232" s="773"/>
      <c r="I232" s="30">
        <f>V230/U230</f>
        <v>1</v>
      </c>
      <c r="J232" s="34"/>
      <c r="K232" s="49"/>
      <c r="L232" s="34"/>
      <c r="M232" s="34"/>
      <c r="N232" s="34"/>
      <c r="O232" s="34"/>
      <c r="P232" s="35"/>
      <c r="Q232" s="30"/>
      <c r="R232" s="32"/>
      <c r="S232" s="34"/>
      <c r="T232" s="34"/>
      <c r="U232" s="34"/>
      <c r="V232" s="34"/>
      <c r="W232" s="35"/>
      <c r="X232" s="889"/>
      <c r="Y232" s="34"/>
    </row>
    <row r="233" spans="1:25" ht="28.8" x14ac:dyDescent="0.3">
      <c r="A233" s="769" t="s">
        <v>186</v>
      </c>
      <c r="B233" s="786"/>
      <c r="C233" s="34"/>
      <c r="D233" s="34" t="s">
        <v>379</v>
      </c>
      <c r="E233" s="49" t="str">
        <f>VLOOKUP(BOM!D233,'RECAP MATIERE'!$A$17:$G$75,5,FALSE)</f>
        <v>Display, liquid crystal, 17 inches {GLO} market for (fit for mass needed)</v>
      </c>
      <c r="F233" s="49" t="str">
        <f>VLOOKUP(BOM!D233,'RECAP MATIERE'!$A$17:$G$75,6,FALSE)</f>
        <v>N/A</v>
      </c>
      <c r="G233" s="30">
        <v>1.9279999999999999</v>
      </c>
      <c r="H233" s="773">
        <f t="shared" si="24"/>
        <v>0</v>
      </c>
      <c r="I233" s="30"/>
      <c r="J233" s="34"/>
      <c r="K233" s="49" t="str">
        <f>VLOOKUP(BOM!D233,'RECAP MATIERE'!$A$17:$G$75,7,FALSE)</f>
        <v>N/A</v>
      </c>
      <c r="L233" s="34"/>
      <c r="M233" s="34"/>
      <c r="N233" s="34"/>
      <c r="O233" s="34"/>
      <c r="P233" s="35"/>
      <c r="Q233" s="30" t="s">
        <v>184</v>
      </c>
      <c r="R233" s="32" t="s">
        <v>185</v>
      </c>
      <c r="S233" s="34" t="s">
        <v>518</v>
      </c>
      <c r="T233" s="34"/>
      <c r="U233" s="34">
        <v>1</v>
      </c>
      <c r="V233" s="34">
        <v>1.5</v>
      </c>
      <c r="W233" s="35"/>
      <c r="X233" s="889"/>
      <c r="Y233" s="34"/>
    </row>
    <row r="234" spans="1:25" ht="28.8" x14ac:dyDescent="0.3">
      <c r="A234" s="769" t="s">
        <v>186</v>
      </c>
      <c r="B234" s="769" t="s">
        <v>243</v>
      </c>
      <c r="C234" s="34"/>
      <c r="D234" s="896" t="s">
        <v>419</v>
      </c>
      <c r="E234" s="49" t="str">
        <f>VLOOKUP(BOM!D234,'RECAP MATIERE'!$A$17:$G$75,5,FALSE)</f>
        <v>EU28: Carton from folding boxboard</v>
      </c>
      <c r="F234" s="49" t="str">
        <f>VLOOKUP(BOM!D234,'RECAP MATIERE'!$A$17:$G$75,6,FALSE)</f>
        <v>N/A</v>
      </c>
      <c r="G234" s="30">
        <f>0.9*I234</f>
        <v>1.35</v>
      </c>
      <c r="H234" s="773"/>
      <c r="I234" s="30">
        <f>V233/U233</f>
        <v>1.5</v>
      </c>
      <c r="J234" s="34"/>
      <c r="K234" s="49"/>
      <c r="L234" s="34"/>
      <c r="M234" s="34"/>
      <c r="N234" s="34"/>
      <c r="O234" s="34"/>
      <c r="P234" s="35"/>
      <c r="Q234" s="30"/>
      <c r="R234" s="32"/>
      <c r="S234" s="34"/>
      <c r="T234" s="34"/>
      <c r="U234" s="34"/>
      <c r="V234" s="34"/>
      <c r="W234" s="35"/>
      <c r="X234" s="889"/>
      <c r="Y234" s="34"/>
    </row>
    <row r="235" spans="1:25" ht="28.8" x14ac:dyDescent="0.3">
      <c r="A235" s="769" t="s">
        <v>186</v>
      </c>
      <c r="B235" s="769" t="s">
        <v>243</v>
      </c>
      <c r="C235" s="34"/>
      <c r="D235" s="983" t="s">
        <v>512</v>
      </c>
      <c r="E235" s="49">
        <f>VLOOKUP(BOM!D235,'RECAP MATIERE'!$A$17:$G$75,5,FALSE)</f>
        <v>0</v>
      </c>
      <c r="F235" s="49" t="str">
        <f>VLOOKUP(BOM!D235,'RECAP MATIERE'!$A$17:$G$75,6,FALSE)</f>
        <v>N/A</v>
      </c>
      <c r="G235" s="30">
        <f>0.1*I235</f>
        <v>0.15000000000000002</v>
      </c>
      <c r="H235" s="773"/>
      <c r="I235" s="30">
        <f>V233/U233</f>
        <v>1.5</v>
      </c>
      <c r="J235" s="34"/>
      <c r="K235" s="49"/>
      <c r="L235" s="34"/>
      <c r="M235" s="34"/>
      <c r="N235" s="34"/>
      <c r="O235" s="34"/>
      <c r="P235" s="35"/>
      <c r="Q235" s="30"/>
      <c r="R235" s="32"/>
      <c r="S235" s="34"/>
      <c r="T235" s="34"/>
      <c r="U235" s="34"/>
      <c r="V235" s="34"/>
      <c r="W235" s="35"/>
      <c r="X235" s="889"/>
      <c r="Y235" s="34"/>
    </row>
    <row r="236" spans="1:25" ht="28.8" x14ac:dyDescent="0.3">
      <c r="A236" s="31" t="s">
        <v>187</v>
      </c>
      <c r="B236" s="786"/>
      <c r="C236" s="34"/>
      <c r="D236" s="34" t="s">
        <v>379</v>
      </c>
      <c r="E236" s="49" t="str">
        <f>VLOOKUP(BOM!D236,'RECAP MATIERE'!$A$17:$G$75,5,FALSE)</f>
        <v>Display, liquid crystal, 17 inches {GLO} market for (fit for mass needed)</v>
      </c>
      <c r="F236" s="49" t="str">
        <f>VLOOKUP(BOM!D236,'RECAP MATIERE'!$A$17:$G$75,6,FALSE)</f>
        <v>N/A</v>
      </c>
      <c r="G236" s="30">
        <v>0.45</v>
      </c>
      <c r="H236" s="773">
        <f t="shared" si="24"/>
        <v>0</v>
      </c>
      <c r="I236" s="30"/>
      <c r="J236" s="34"/>
      <c r="K236" s="49" t="str">
        <f>VLOOKUP(BOM!D236,'RECAP MATIERE'!$A$17:$G$75,7,FALSE)</f>
        <v>N/A</v>
      </c>
      <c r="L236" s="34"/>
      <c r="M236" s="34"/>
      <c r="N236" s="34"/>
      <c r="O236" s="34"/>
      <c r="P236" s="35"/>
      <c r="Q236" s="30" t="s">
        <v>184</v>
      </c>
      <c r="R236" s="32" t="s">
        <v>185</v>
      </c>
      <c r="S236" s="34" t="s">
        <v>518</v>
      </c>
      <c r="T236" s="34"/>
      <c r="U236" s="34">
        <v>1</v>
      </c>
      <c r="V236" s="34">
        <v>1</v>
      </c>
      <c r="W236" s="35"/>
      <c r="X236" s="889"/>
      <c r="Y236" s="34"/>
    </row>
    <row r="237" spans="1:25" x14ac:dyDescent="0.3">
      <c r="A237" s="31" t="s">
        <v>187</v>
      </c>
      <c r="B237" s="769" t="s">
        <v>243</v>
      </c>
      <c r="C237" s="34"/>
      <c r="D237" s="896" t="s">
        <v>419</v>
      </c>
      <c r="E237" s="49" t="str">
        <f>VLOOKUP(BOM!D237,'RECAP MATIERE'!$A$17:$G$75,5,FALSE)</f>
        <v>EU28: Carton from folding boxboard</v>
      </c>
      <c r="F237" s="49" t="str">
        <f>VLOOKUP(BOM!D237,'RECAP MATIERE'!$A$17:$G$75,6,FALSE)</f>
        <v>N/A</v>
      </c>
      <c r="G237" s="30">
        <f>0.9*I237</f>
        <v>0.9</v>
      </c>
      <c r="H237" s="773"/>
      <c r="I237" s="30">
        <f>V236/U236</f>
        <v>1</v>
      </c>
      <c r="J237" s="34"/>
      <c r="K237" s="49"/>
      <c r="L237" s="34"/>
      <c r="M237" s="34"/>
      <c r="N237" s="34"/>
      <c r="O237" s="34"/>
      <c r="P237" s="35"/>
      <c r="Q237" s="30"/>
      <c r="R237" s="32"/>
      <c r="S237" s="34"/>
      <c r="T237" s="34"/>
      <c r="U237" s="34"/>
      <c r="V237" s="34"/>
      <c r="W237" s="35"/>
      <c r="X237" s="889"/>
      <c r="Y237" s="34"/>
    </row>
    <row r="238" spans="1:25" x14ac:dyDescent="0.3">
      <c r="A238" s="31" t="s">
        <v>187</v>
      </c>
      <c r="B238" s="769" t="s">
        <v>243</v>
      </c>
      <c r="C238" s="34"/>
      <c r="D238" s="983" t="s">
        <v>512</v>
      </c>
      <c r="E238" s="49">
        <f>VLOOKUP(BOM!D238,'RECAP MATIERE'!$A$17:$G$75,5,FALSE)</f>
        <v>0</v>
      </c>
      <c r="F238" s="49" t="str">
        <f>VLOOKUP(BOM!D238,'RECAP MATIERE'!$A$17:$G$75,6,FALSE)</f>
        <v>N/A</v>
      </c>
      <c r="G238" s="30">
        <f>0.1*I238</f>
        <v>0.1</v>
      </c>
      <c r="H238" s="773"/>
      <c r="I238" s="30">
        <f>V236/U236</f>
        <v>1</v>
      </c>
      <c r="J238" s="34"/>
      <c r="K238" s="49"/>
      <c r="L238" s="34"/>
      <c r="M238" s="34"/>
      <c r="N238" s="34"/>
      <c r="O238" s="34"/>
      <c r="P238" s="35"/>
      <c r="Q238" s="30"/>
      <c r="R238" s="32"/>
      <c r="S238" s="34"/>
      <c r="T238" s="34"/>
      <c r="U238" s="34"/>
      <c r="V238" s="34"/>
      <c r="W238" s="35"/>
      <c r="X238" s="889"/>
      <c r="Y238" s="34"/>
    </row>
    <row r="239" spans="1:25" ht="28.8" x14ac:dyDescent="0.3">
      <c r="A239" s="771" t="s">
        <v>188</v>
      </c>
      <c r="B239" s="786"/>
      <c r="C239" s="34"/>
      <c r="D239" s="34" t="s">
        <v>381</v>
      </c>
      <c r="E239" s="49" t="str">
        <f>VLOOKUP(BOM!D239,'RECAP MATIERE'!$A$17:$G$75,5,FALSE)</f>
        <v>Light emitting diode {GLO} market for APOS, U</v>
      </c>
      <c r="F239" s="49" t="str">
        <f>VLOOKUP(BOM!D239,'RECAP MATIERE'!$A$17:$G$75,6,FALSE)</f>
        <v>N/A</v>
      </c>
      <c r="G239" s="30">
        <v>0.8</v>
      </c>
      <c r="H239" s="773">
        <f t="shared" si="24"/>
        <v>0</v>
      </c>
      <c r="I239" s="30"/>
      <c r="J239" s="34"/>
      <c r="K239" s="49" t="str">
        <f>VLOOKUP(BOM!D239,'RECAP MATIERE'!$A$17:$G$75,7,FALSE)</f>
        <v>N/A</v>
      </c>
      <c r="L239" s="34"/>
      <c r="M239" s="34"/>
      <c r="N239" s="34"/>
      <c r="O239" s="34"/>
      <c r="P239" s="35"/>
      <c r="Q239" s="884" t="s">
        <v>189</v>
      </c>
      <c r="R239" s="885" t="s">
        <v>190</v>
      </c>
      <c r="S239" s="34" t="s">
        <v>518</v>
      </c>
      <c r="T239" s="34"/>
      <c r="U239" s="34">
        <v>1</v>
      </c>
      <c r="V239" s="34">
        <v>1</v>
      </c>
      <c r="W239" s="35"/>
      <c r="X239" s="889"/>
      <c r="Y239" s="34"/>
    </row>
    <row r="240" spans="1:25" ht="15.6" x14ac:dyDescent="0.3">
      <c r="A240" s="771" t="s">
        <v>188</v>
      </c>
      <c r="B240" s="769" t="s">
        <v>243</v>
      </c>
      <c r="C240" s="34"/>
      <c r="D240" s="896" t="s">
        <v>419</v>
      </c>
      <c r="E240" s="49" t="str">
        <f>VLOOKUP(BOM!D240,'RECAP MATIERE'!$A$17:$G$75,5,FALSE)</f>
        <v>EU28: Carton from folding boxboard</v>
      </c>
      <c r="F240" s="49" t="str">
        <f>VLOOKUP(BOM!D240,'RECAP MATIERE'!$A$17:$G$75,6,FALSE)</f>
        <v>N/A</v>
      </c>
      <c r="G240" s="30">
        <f>0.9*I240</f>
        <v>0.9</v>
      </c>
      <c r="H240" s="773"/>
      <c r="I240" s="30">
        <f>V239/U239</f>
        <v>1</v>
      </c>
      <c r="J240" s="34"/>
      <c r="K240" s="49"/>
      <c r="L240" s="34"/>
      <c r="M240" s="34"/>
      <c r="N240" s="34"/>
      <c r="O240" s="34"/>
      <c r="P240" s="35"/>
      <c r="Q240" s="884"/>
      <c r="R240" s="885"/>
      <c r="S240" s="34"/>
      <c r="T240" s="34"/>
      <c r="U240" s="34"/>
      <c r="V240" s="34"/>
      <c r="W240" s="35"/>
      <c r="X240" s="889"/>
      <c r="Y240" s="34"/>
    </row>
    <row r="241" spans="1:25" ht="15.6" x14ac:dyDescent="0.3">
      <c r="A241" s="771" t="s">
        <v>188</v>
      </c>
      <c r="B241" s="769" t="s">
        <v>243</v>
      </c>
      <c r="C241" s="34"/>
      <c r="D241" s="983" t="s">
        <v>512</v>
      </c>
      <c r="E241" s="49">
        <f>VLOOKUP(BOM!D241,'RECAP MATIERE'!$A$17:$G$75,5,FALSE)</f>
        <v>0</v>
      </c>
      <c r="F241" s="49" t="str">
        <f>VLOOKUP(BOM!D241,'RECAP MATIERE'!$A$17:$G$75,6,FALSE)</f>
        <v>N/A</v>
      </c>
      <c r="G241" s="30">
        <f>0.1*I241</f>
        <v>0.1</v>
      </c>
      <c r="H241" s="773"/>
      <c r="I241" s="30">
        <f>V239/U239</f>
        <v>1</v>
      </c>
      <c r="J241" s="34"/>
      <c r="K241" s="49"/>
      <c r="L241" s="34"/>
      <c r="M241" s="34"/>
      <c r="N241" s="34"/>
      <c r="O241" s="34"/>
      <c r="P241" s="35"/>
      <c r="Q241" s="884"/>
      <c r="R241" s="885"/>
      <c r="S241" s="34"/>
      <c r="T241" s="34"/>
      <c r="U241" s="34"/>
      <c r="V241" s="34"/>
      <c r="W241" s="35"/>
      <c r="X241" s="889"/>
      <c r="Y241" s="34"/>
    </row>
    <row r="242" spans="1:25" x14ac:dyDescent="0.3">
      <c r="A242" s="771" t="s">
        <v>191</v>
      </c>
      <c r="B242" s="771" t="s">
        <v>192</v>
      </c>
      <c r="C242" s="34"/>
      <c r="D242" s="34" t="s">
        <v>384</v>
      </c>
      <c r="E242" s="49" t="e">
        <f>VLOOKUP(BOM!D242,'RECAP MATIERE'!$A$17:$G$75,5,FALSE)</f>
        <v>#N/A</v>
      </c>
      <c r="F242" s="49" t="e">
        <f>VLOOKUP(BOM!D242,'RECAP MATIERE'!$A$17:$G$75,6,FALSE)</f>
        <v>#N/A</v>
      </c>
      <c r="G242" s="30">
        <v>0.2</v>
      </c>
      <c r="H242" s="773">
        <f t="shared" si="24"/>
        <v>0</v>
      </c>
      <c r="I242" s="30"/>
      <c r="J242" s="34"/>
      <c r="K242" s="49" t="e">
        <f>VLOOKUP(BOM!D242,'RECAP MATIERE'!$A$17:$G$75,7,FALSE)</f>
        <v>#N/A</v>
      </c>
      <c r="L242" s="34"/>
      <c r="M242" s="34"/>
      <c r="N242" s="34"/>
      <c r="O242" s="34"/>
      <c r="P242" s="35"/>
      <c r="Q242" s="30" t="s">
        <v>193</v>
      </c>
      <c r="R242" s="30" t="s">
        <v>194</v>
      </c>
      <c r="S242" s="34" t="s">
        <v>518</v>
      </c>
      <c r="T242" s="34"/>
      <c r="U242" s="34">
        <v>1</v>
      </c>
      <c r="V242" s="34">
        <v>1</v>
      </c>
      <c r="W242" s="35"/>
      <c r="X242" s="889"/>
      <c r="Y242" s="34"/>
    </row>
    <row r="243" spans="1:25" x14ac:dyDescent="0.3">
      <c r="A243" s="771" t="s">
        <v>191</v>
      </c>
      <c r="B243" s="769" t="s">
        <v>243</v>
      </c>
      <c r="C243" s="34"/>
      <c r="D243" s="896" t="s">
        <v>419</v>
      </c>
      <c r="E243" s="49" t="str">
        <f>VLOOKUP(BOM!D243,'RECAP MATIERE'!$A$17:$G$75,5,FALSE)</f>
        <v>EU28: Carton from folding boxboard</v>
      </c>
      <c r="F243" s="49" t="str">
        <f>VLOOKUP(BOM!D243,'RECAP MATIERE'!$A$17:$G$75,6,FALSE)</f>
        <v>N/A</v>
      </c>
      <c r="G243" s="30">
        <f>0.9*I243</f>
        <v>0.9</v>
      </c>
      <c r="H243" s="773"/>
      <c r="I243" s="30">
        <f>V242/U242</f>
        <v>1</v>
      </c>
      <c r="J243" s="34"/>
      <c r="K243" s="49"/>
      <c r="L243" s="34"/>
      <c r="M243" s="34"/>
      <c r="N243" s="34"/>
      <c r="O243" s="34"/>
      <c r="P243" s="35"/>
      <c r="Q243" s="30"/>
      <c r="R243" s="30"/>
      <c r="S243" s="34"/>
      <c r="T243" s="34"/>
      <c r="U243" s="34"/>
      <c r="V243" s="34"/>
      <c r="W243" s="35"/>
      <c r="X243" s="889"/>
      <c r="Y243" s="34"/>
    </row>
    <row r="244" spans="1:25" x14ac:dyDescent="0.3">
      <c r="A244" s="771" t="s">
        <v>191</v>
      </c>
      <c r="B244" s="769" t="s">
        <v>243</v>
      </c>
      <c r="C244" s="34"/>
      <c r="D244" s="983" t="s">
        <v>512</v>
      </c>
      <c r="E244" s="49">
        <f>VLOOKUP(BOM!D244,'RECAP MATIERE'!$A$17:$G$75,5,FALSE)</f>
        <v>0</v>
      </c>
      <c r="F244" s="49" t="str">
        <f>VLOOKUP(BOM!D244,'RECAP MATIERE'!$A$17:$G$75,6,FALSE)</f>
        <v>N/A</v>
      </c>
      <c r="G244" s="30">
        <f>0.1*I244</f>
        <v>0.1</v>
      </c>
      <c r="H244" s="773"/>
      <c r="I244" s="30">
        <f>V242/U242</f>
        <v>1</v>
      </c>
      <c r="J244" s="34"/>
      <c r="K244" s="49"/>
      <c r="L244" s="34"/>
      <c r="M244" s="34"/>
      <c r="N244" s="34"/>
      <c r="O244" s="34"/>
      <c r="P244" s="35"/>
      <c r="Q244" s="30"/>
      <c r="R244" s="30"/>
      <c r="S244" s="34"/>
      <c r="T244" s="34"/>
      <c r="U244" s="34"/>
      <c r="V244" s="34"/>
      <c r="W244" s="35"/>
      <c r="X244" s="889"/>
      <c r="Y244" s="34"/>
    </row>
    <row r="245" spans="1:25" ht="28.8" x14ac:dyDescent="0.3">
      <c r="A245" s="31" t="s">
        <v>195</v>
      </c>
      <c r="B245" s="786"/>
      <c r="C245" s="34"/>
      <c r="D245" s="34" t="s">
        <v>385</v>
      </c>
      <c r="E245" s="49" t="str">
        <f>VLOOKUP(BOM!D245,'RECAP MATIERE'!$A$17:$G$75,5,FALSE)</f>
        <v>50% PTFE - 50% Analog PCB</v>
      </c>
      <c r="F245" s="49" t="str">
        <f>VLOOKUP(BOM!D245,'RECAP MATIERE'!$A$17:$G$75,6,FALSE)</f>
        <v>N/A</v>
      </c>
      <c r="G245" s="30">
        <v>7.0000000000000007E-2</v>
      </c>
      <c r="H245" s="773">
        <f t="shared" si="24"/>
        <v>0</v>
      </c>
      <c r="I245" s="30"/>
      <c r="J245" s="34"/>
      <c r="K245" s="49" t="str">
        <f>VLOOKUP(BOM!D245,'RECAP MATIERE'!$A$17:$G$75,7,FALSE)</f>
        <v>N/A</v>
      </c>
      <c r="L245" s="34"/>
      <c r="M245" s="34"/>
      <c r="N245" s="34"/>
      <c r="O245" s="34"/>
      <c r="P245" s="35"/>
      <c r="Q245" s="786"/>
      <c r="R245" s="786"/>
      <c r="S245" s="34" t="s">
        <v>518</v>
      </c>
      <c r="T245" s="34"/>
      <c r="U245" s="34">
        <v>1</v>
      </c>
      <c r="V245" s="34">
        <v>1</v>
      </c>
      <c r="W245" s="35"/>
      <c r="X245" s="889"/>
      <c r="Y245" s="34"/>
    </row>
    <row r="246" spans="1:25" ht="28.8" x14ac:dyDescent="0.3">
      <c r="A246" s="31" t="s">
        <v>195</v>
      </c>
      <c r="B246" s="769" t="s">
        <v>243</v>
      </c>
      <c r="C246" s="34"/>
      <c r="D246" s="896" t="s">
        <v>419</v>
      </c>
      <c r="E246" s="49" t="str">
        <f>VLOOKUP(BOM!D246,'RECAP MATIERE'!$A$17:$G$75,5,FALSE)</f>
        <v>EU28: Carton from folding boxboard</v>
      </c>
      <c r="F246" s="49" t="str">
        <f>VLOOKUP(BOM!D246,'RECAP MATIERE'!$A$17:$G$75,6,FALSE)</f>
        <v>N/A</v>
      </c>
      <c r="G246" s="30">
        <f>0.9*I246</f>
        <v>0.9</v>
      </c>
      <c r="H246" s="773"/>
      <c r="I246" s="30">
        <f>V245/U245</f>
        <v>1</v>
      </c>
      <c r="J246" s="34"/>
      <c r="K246" s="49"/>
      <c r="L246" s="34"/>
      <c r="M246" s="34"/>
      <c r="N246" s="34"/>
      <c r="O246" s="34"/>
      <c r="P246" s="35"/>
      <c r="Q246" s="786"/>
      <c r="R246" s="786"/>
      <c r="S246" s="34"/>
      <c r="T246" s="34"/>
      <c r="U246" s="34"/>
      <c r="V246" s="34"/>
      <c r="W246" s="35"/>
      <c r="X246" s="889"/>
      <c r="Y246" s="34"/>
    </row>
    <row r="247" spans="1:25" ht="28.8" x14ac:dyDescent="0.3">
      <c r="A247" s="31" t="s">
        <v>195</v>
      </c>
      <c r="B247" s="769" t="s">
        <v>243</v>
      </c>
      <c r="C247" s="34"/>
      <c r="D247" s="983" t="s">
        <v>512</v>
      </c>
      <c r="E247" s="49">
        <f>VLOOKUP(BOM!D247,'RECAP MATIERE'!$A$17:$G$75,5,FALSE)</f>
        <v>0</v>
      </c>
      <c r="F247" s="49" t="str">
        <f>VLOOKUP(BOM!D247,'RECAP MATIERE'!$A$17:$G$75,6,FALSE)</f>
        <v>N/A</v>
      </c>
      <c r="G247" s="30">
        <f>0.1*I247</f>
        <v>0.1</v>
      </c>
      <c r="H247" s="773"/>
      <c r="I247" s="30">
        <f>V245/U245</f>
        <v>1</v>
      </c>
      <c r="J247" s="34"/>
      <c r="K247" s="49"/>
      <c r="L247" s="34"/>
      <c r="M247" s="34"/>
      <c r="N247" s="34"/>
      <c r="O247" s="34"/>
      <c r="P247" s="35"/>
      <c r="Q247" s="786"/>
      <c r="R247" s="786"/>
      <c r="S247" s="34"/>
      <c r="T247" s="34"/>
      <c r="U247" s="34"/>
      <c r="V247" s="34"/>
      <c r="W247" s="35"/>
      <c r="X247" s="889"/>
      <c r="Y247" s="34"/>
    </row>
    <row r="248" spans="1:25" x14ac:dyDescent="0.3">
      <c r="A248" s="769" t="s">
        <v>196</v>
      </c>
      <c r="B248" s="771" t="s">
        <v>197</v>
      </c>
      <c r="C248" s="34"/>
      <c r="D248" s="34" t="s">
        <v>387</v>
      </c>
      <c r="E248" s="49" t="str">
        <f>VLOOKUP(BOM!D248,'RECAP MATIERE'!$A$17:$G$75,5,FALSE)</f>
        <v>70% Al 6000 - 30% Analog PCB</v>
      </c>
      <c r="F248" s="49" t="str">
        <f>VLOOKUP(BOM!D248,'RECAP MATIERE'!$A$17:$G$75,6,FALSE)</f>
        <v>N/A</v>
      </c>
      <c r="G248" s="30">
        <v>0.75</v>
      </c>
      <c r="H248" s="773">
        <f t="shared" si="24"/>
        <v>0</v>
      </c>
      <c r="I248" s="30"/>
      <c r="J248" s="34"/>
      <c r="K248" s="49" t="str">
        <f>VLOOKUP(BOM!D248,'RECAP MATIERE'!$A$17:$G$75,7,FALSE)</f>
        <v>N/A</v>
      </c>
      <c r="L248" s="34"/>
      <c r="M248" s="34"/>
      <c r="N248" s="34"/>
      <c r="O248" s="34"/>
      <c r="P248" s="35"/>
      <c r="Q248" s="786"/>
      <c r="R248" s="786"/>
      <c r="S248" s="34" t="s">
        <v>518</v>
      </c>
      <c r="T248" s="34"/>
      <c r="U248" s="34">
        <v>1</v>
      </c>
      <c r="V248" s="34">
        <v>1</v>
      </c>
      <c r="W248" s="35"/>
      <c r="X248" s="889"/>
      <c r="Y248" s="34"/>
    </row>
    <row r="249" spans="1:25" x14ac:dyDescent="0.3">
      <c r="A249" s="769" t="s">
        <v>196</v>
      </c>
      <c r="B249" s="769" t="s">
        <v>243</v>
      </c>
      <c r="C249" s="34"/>
      <c r="D249" s="896" t="s">
        <v>419</v>
      </c>
      <c r="E249" s="49" t="str">
        <f>VLOOKUP(BOM!D249,'RECAP MATIERE'!$A$17:$G$75,5,FALSE)</f>
        <v>EU28: Carton from folding boxboard</v>
      </c>
      <c r="F249" s="49" t="str">
        <f>VLOOKUP(BOM!D249,'RECAP MATIERE'!$A$17:$G$75,6,FALSE)</f>
        <v>N/A</v>
      </c>
      <c r="G249" s="30">
        <f>0.9*I249</f>
        <v>0.9</v>
      </c>
      <c r="H249" s="773"/>
      <c r="I249" s="30">
        <f>V248/U248</f>
        <v>1</v>
      </c>
      <c r="J249" s="34"/>
      <c r="K249" s="49"/>
      <c r="L249" s="34"/>
      <c r="M249" s="34"/>
      <c r="N249" s="34"/>
      <c r="O249" s="34"/>
      <c r="P249" s="35"/>
      <c r="Q249" s="786"/>
      <c r="R249" s="786"/>
      <c r="S249" s="34"/>
      <c r="T249" s="34"/>
      <c r="U249" s="34"/>
      <c r="V249" s="34"/>
      <c r="W249" s="35"/>
      <c r="X249" s="889"/>
      <c r="Y249" s="34"/>
    </row>
    <row r="250" spans="1:25" x14ac:dyDescent="0.3">
      <c r="A250" s="769" t="s">
        <v>196</v>
      </c>
      <c r="B250" s="769" t="s">
        <v>243</v>
      </c>
      <c r="C250" s="34"/>
      <c r="D250" s="983" t="s">
        <v>512</v>
      </c>
      <c r="E250" s="49">
        <f>VLOOKUP(BOM!D250,'RECAP MATIERE'!$A$17:$G$75,5,FALSE)</f>
        <v>0</v>
      </c>
      <c r="F250" s="49" t="str">
        <f>VLOOKUP(BOM!D250,'RECAP MATIERE'!$A$17:$G$75,6,FALSE)</f>
        <v>N/A</v>
      </c>
      <c r="G250" s="30">
        <f>0.1*I250</f>
        <v>0.1</v>
      </c>
      <c r="H250" s="773"/>
      <c r="I250" s="30">
        <f>V248/U248</f>
        <v>1</v>
      </c>
      <c r="J250" s="34"/>
      <c r="K250" s="49"/>
      <c r="L250" s="34"/>
      <c r="M250" s="34"/>
      <c r="N250" s="34"/>
      <c r="O250" s="34"/>
      <c r="P250" s="35"/>
      <c r="Q250" s="786"/>
      <c r="R250" s="786"/>
      <c r="S250" s="34"/>
      <c r="T250" s="34"/>
      <c r="U250" s="34"/>
      <c r="V250" s="34"/>
      <c r="W250" s="35"/>
      <c r="X250" s="889"/>
      <c r="Y250" s="34"/>
    </row>
    <row r="251" spans="1:25" x14ac:dyDescent="0.3">
      <c r="A251" s="31" t="s">
        <v>198</v>
      </c>
      <c r="B251" s="886" t="s">
        <v>199</v>
      </c>
      <c r="C251" s="34"/>
      <c r="D251" s="34" t="s">
        <v>387</v>
      </c>
      <c r="E251" s="49" t="str">
        <f>VLOOKUP(BOM!D251,'RECAP MATIERE'!$A$17:$G$75,5,FALSE)</f>
        <v>70% Al 6000 - 30% Analog PCB</v>
      </c>
      <c r="F251" s="49" t="str">
        <f>VLOOKUP(BOM!D251,'RECAP MATIERE'!$A$17:$G$75,6,FALSE)</f>
        <v>N/A</v>
      </c>
      <c r="G251" s="887">
        <v>1.5</v>
      </c>
      <c r="H251" s="773">
        <f t="shared" si="24"/>
        <v>0</v>
      </c>
      <c r="I251" s="887"/>
      <c r="J251" s="34"/>
      <c r="K251" s="49" t="str">
        <f>VLOOKUP(BOM!D251,'RECAP MATIERE'!$A$17:$G$75,7,FALSE)</f>
        <v>N/A</v>
      </c>
      <c r="L251" s="34"/>
      <c r="M251" s="34"/>
      <c r="N251" s="34"/>
      <c r="O251" s="34"/>
      <c r="P251" s="35"/>
      <c r="Q251" s="34"/>
      <c r="R251" s="34"/>
      <c r="S251" s="34" t="s">
        <v>518</v>
      </c>
      <c r="T251" s="34"/>
      <c r="U251" s="34">
        <v>1</v>
      </c>
      <c r="V251" s="34">
        <v>1</v>
      </c>
      <c r="W251" s="35"/>
      <c r="X251" s="889"/>
      <c r="Y251" s="34"/>
    </row>
    <row r="252" spans="1:25" x14ac:dyDescent="0.3">
      <c r="A252" s="31" t="s">
        <v>198</v>
      </c>
      <c r="B252" s="769" t="s">
        <v>243</v>
      </c>
      <c r="C252" s="34"/>
      <c r="D252" s="896" t="s">
        <v>419</v>
      </c>
      <c r="E252" s="49" t="str">
        <f>VLOOKUP(BOM!D252,'RECAP MATIERE'!$A$17:$G$75,5,FALSE)</f>
        <v>EU28: Carton from folding boxboard</v>
      </c>
      <c r="F252" s="49" t="str">
        <f>VLOOKUP(BOM!D252,'RECAP MATIERE'!$A$17:$G$75,6,FALSE)</f>
        <v>N/A</v>
      </c>
      <c r="G252" s="30">
        <f>0.9*I252</f>
        <v>0.9</v>
      </c>
      <c r="H252" s="773"/>
      <c r="I252" s="30">
        <f>V251/U251</f>
        <v>1</v>
      </c>
      <c r="J252" s="34"/>
      <c r="K252" s="49"/>
      <c r="L252" s="34"/>
      <c r="M252" s="34"/>
      <c r="N252" s="34"/>
      <c r="O252" s="34"/>
      <c r="P252" s="35"/>
      <c r="Q252" s="34"/>
      <c r="R252" s="34"/>
      <c r="S252" s="34"/>
      <c r="T252" s="34"/>
      <c r="U252" s="34"/>
      <c r="V252" s="34"/>
      <c r="W252" s="35"/>
      <c r="X252" s="889"/>
      <c r="Y252" s="34"/>
    </row>
    <row r="253" spans="1:25" x14ac:dyDescent="0.3">
      <c r="A253" s="31" t="s">
        <v>198</v>
      </c>
      <c r="B253" s="769" t="s">
        <v>243</v>
      </c>
      <c r="C253" s="34"/>
      <c r="D253" s="983" t="s">
        <v>512</v>
      </c>
      <c r="E253" s="49">
        <f>VLOOKUP(BOM!D253,'RECAP MATIERE'!$A$17:$G$75,5,FALSE)</f>
        <v>0</v>
      </c>
      <c r="F253" s="49" t="str">
        <f>VLOOKUP(BOM!D253,'RECAP MATIERE'!$A$17:$G$75,6,FALSE)</f>
        <v>N/A</v>
      </c>
      <c r="G253" s="30">
        <f>0.1*I253</f>
        <v>0.1</v>
      </c>
      <c r="H253" s="773"/>
      <c r="I253" s="30">
        <f>V251/U251</f>
        <v>1</v>
      </c>
      <c r="J253" s="34"/>
      <c r="K253" s="49"/>
      <c r="L253" s="34"/>
      <c r="M253" s="34"/>
      <c r="N253" s="34"/>
      <c r="O253" s="34"/>
      <c r="P253" s="35"/>
      <c r="Q253" s="34"/>
      <c r="R253" s="34"/>
      <c r="S253" s="34"/>
      <c r="T253" s="34"/>
      <c r="U253" s="34"/>
      <c r="V253" s="34"/>
      <c r="W253" s="35"/>
      <c r="X253" s="889"/>
      <c r="Y253" s="34"/>
    </row>
    <row r="254" spans="1:25" ht="28.8" x14ac:dyDescent="0.3">
      <c r="A254" s="886" t="s">
        <v>519</v>
      </c>
      <c r="B254" s="34"/>
      <c r="C254" s="34"/>
      <c r="D254" s="33" t="s">
        <v>388</v>
      </c>
      <c r="E254" s="49" t="str">
        <f>VLOOKUP(BOM!D254,'RECAP MATIERE'!$A$17:$G$75,5,FALSE)</f>
        <v>kraft paper {RER}| market for kraft paper | APOS, U</v>
      </c>
      <c r="F254" s="49">
        <f>VLOOKUP(BOM!D254,'RECAP MATIERE'!$A$17:$G$75,6,FALSE)</f>
        <v>0</v>
      </c>
      <c r="G254" s="30">
        <v>2.5000000000000001E-3</v>
      </c>
      <c r="H254" s="773" t="e">
        <f t="shared" si="24"/>
        <v>#VALUE!</v>
      </c>
      <c r="I254" s="30"/>
      <c r="J254" s="34" t="s">
        <v>342</v>
      </c>
      <c r="K254" s="49">
        <f>VLOOKUP(BOM!D254,'RECAP MATIERE'!$A$17:$G$75,7,FALSE)</f>
        <v>0</v>
      </c>
      <c r="L254" s="34" t="s">
        <v>342</v>
      </c>
      <c r="M254" s="34" t="s">
        <v>342</v>
      </c>
      <c r="N254" s="34" t="s">
        <v>342</v>
      </c>
      <c r="O254" s="34" t="s">
        <v>342</v>
      </c>
      <c r="P254" s="34" t="s">
        <v>342</v>
      </c>
      <c r="Q254" s="34" t="s">
        <v>342</v>
      </c>
      <c r="R254" s="34" t="s">
        <v>342</v>
      </c>
      <c r="S254" s="34" t="s">
        <v>342</v>
      </c>
      <c r="T254" s="34" t="s">
        <v>342</v>
      </c>
      <c r="U254" s="34" t="s">
        <v>342</v>
      </c>
      <c r="V254" s="34" t="s">
        <v>342</v>
      </c>
      <c r="W254" s="34" t="s">
        <v>342</v>
      </c>
      <c r="X254" s="34" t="s">
        <v>342</v>
      </c>
      <c r="Y254" s="34"/>
    </row>
    <row r="255" spans="1:25" x14ac:dyDescent="0.3">
      <c r="A255" s="886" t="s">
        <v>520</v>
      </c>
      <c r="B255" s="769" t="s">
        <v>243</v>
      </c>
      <c r="C255" s="34"/>
      <c r="D255" s="35" t="s">
        <v>452</v>
      </c>
      <c r="E255" s="49" t="str">
        <f>VLOOKUP(BOM!D255,'RECAP MATIERE'!$A$17:$G$75,5,FALSE)</f>
        <v>EU28: Plywood board</v>
      </c>
      <c r="F255" s="49" t="str">
        <f>VLOOKUP(BOM!D255,'RECAP MATIERE'!$A$17:$G$75,6,FALSE)</f>
        <v>N/A</v>
      </c>
      <c r="G255" s="30">
        <v>40</v>
      </c>
      <c r="H255" s="773"/>
      <c r="I255" s="30"/>
      <c r="J255" s="34"/>
      <c r="K255" s="49"/>
      <c r="L255" s="34"/>
      <c r="M255" s="34"/>
      <c r="N255" s="34"/>
      <c r="O255" s="34"/>
      <c r="P255" s="34"/>
      <c r="Q255" s="34"/>
      <c r="R255" s="34"/>
      <c r="S255" s="34" t="s">
        <v>521</v>
      </c>
      <c r="T255" s="34"/>
      <c r="U255" s="34"/>
      <c r="V255" s="34"/>
      <c r="W255" s="34"/>
      <c r="X255" s="34"/>
      <c r="Y255" s="34"/>
    </row>
    <row r="256" spans="1:25" x14ac:dyDescent="0.3">
      <c r="A256" s="886" t="s">
        <v>520</v>
      </c>
      <c r="B256" s="769" t="s">
        <v>243</v>
      </c>
      <c r="C256" s="34"/>
      <c r="D256" s="896" t="s">
        <v>419</v>
      </c>
      <c r="E256" s="49" t="str">
        <f>VLOOKUP(BOM!D256,'RECAP MATIERE'!$A$17:$G$75,5,FALSE)</f>
        <v>EU28: Carton from folding boxboard</v>
      </c>
      <c r="F256" s="49" t="str">
        <f>VLOOKUP(BOM!D256,'RECAP MATIERE'!$A$17:$G$75,6,FALSE)</f>
        <v>N/A</v>
      </c>
      <c r="G256" s="30">
        <v>10</v>
      </c>
      <c r="H256" s="773"/>
      <c r="I256" s="30"/>
      <c r="J256" s="34"/>
      <c r="K256" s="49"/>
      <c r="L256" s="34"/>
      <c r="M256" s="34"/>
      <c r="N256" s="34"/>
      <c r="O256" s="34"/>
      <c r="P256" s="34"/>
      <c r="Q256" s="34"/>
      <c r="R256" s="34"/>
      <c r="S256" s="34" t="s">
        <v>521</v>
      </c>
      <c r="T256" s="34"/>
      <c r="U256" s="34"/>
      <c r="V256" s="34"/>
      <c r="W256" s="34"/>
      <c r="X256" s="34"/>
      <c r="Y256" s="34"/>
    </row>
    <row r="257" spans="1:25" x14ac:dyDescent="0.3">
      <c r="A257" s="886" t="s">
        <v>520</v>
      </c>
      <c r="B257" s="769" t="s">
        <v>243</v>
      </c>
      <c r="C257" s="34"/>
      <c r="D257" s="983" t="s">
        <v>512</v>
      </c>
      <c r="E257" s="49">
        <f>VLOOKUP(BOM!D257,'RECAP MATIERE'!$A$17:$G$75,5,FALSE)</f>
        <v>0</v>
      </c>
      <c r="F257" s="49" t="str">
        <f>VLOOKUP(BOM!D257,'RECAP MATIERE'!$A$17:$G$75,6,FALSE)</f>
        <v>N/A</v>
      </c>
      <c r="G257" s="30">
        <v>1</v>
      </c>
      <c r="H257" s="773"/>
      <c r="I257" s="30"/>
      <c r="J257" s="34"/>
      <c r="K257" s="49"/>
      <c r="L257" s="34"/>
      <c r="M257" s="34"/>
      <c r="N257" s="34"/>
      <c r="O257" s="34"/>
      <c r="P257" s="34"/>
      <c r="Q257" s="34"/>
      <c r="R257" s="34"/>
      <c r="S257" s="34" t="s">
        <v>521</v>
      </c>
      <c r="T257" s="34"/>
      <c r="U257" s="34"/>
      <c r="V257" s="34"/>
      <c r="W257" s="34"/>
      <c r="X257" s="34"/>
      <c r="Y257" s="34"/>
    </row>
    <row r="258" spans="1:25" x14ac:dyDescent="0.3">
      <c r="A258" s="886" t="s">
        <v>520</v>
      </c>
      <c r="B258" s="769" t="s">
        <v>243</v>
      </c>
      <c r="C258" s="34"/>
      <c r="D258" s="899" t="s">
        <v>464</v>
      </c>
      <c r="E258" s="49" t="str">
        <f>VLOOKUP(BOM!D258,'RECAP MATIERE'!$A$17:$G$75,5,FALSE)</f>
        <v>RER: Polyethylene film (PE-LD)</v>
      </c>
      <c r="F258" s="49" t="str">
        <f>VLOOKUP(BOM!D258,'RECAP MATIERE'!$A$17:$G$75,6,FALSE)</f>
        <v>N/A</v>
      </c>
      <c r="G258" s="30">
        <v>2</v>
      </c>
      <c r="H258" s="773"/>
      <c r="I258" s="30"/>
      <c r="J258" s="34"/>
      <c r="K258" s="49"/>
      <c r="L258" s="34"/>
      <c r="M258" s="34"/>
      <c r="N258" s="34"/>
      <c r="O258" s="34"/>
      <c r="P258" s="34"/>
      <c r="Q258" s="34"/>
      <c r="R258" s="34"/>
      <c r="S258" s="34" t="s">
        <v>521</v>
      </c>
      <c r="T258" s="34"/>
      <c r="U258" s="34"/>
      <c r="V258" s="34"/>
      <c r="W258" s="34"/>
      <c r="X258" s="34"/>
      <c r="Y258" s="34"/>
    </row>
    <row r="259" spans="1:25" x14ac:dyDescent="0.3">
      <c r="A259" s="886" t="s">
        <v>522</v>
      </c>
      <c r="B259" s="34"/>
      <c r="C259" s="34"/>
      <c r="D259" s="33" t="s">
        <v>342</v>
      </c>
      <c r="E259" s="49" t="e">
        <f>VLOOKUP(BOM!D259,'RECAP MATIERE'!$A$17:$G$75,5,FALSE)</f>
        <v>#N/A</v>
      </c>
      <c r="F259" s="49" t="e">
        <f>VLOOKUP(BOM!D259,'RECAP MATIERE'!$A$17:$G$75,6,FALSE)</f>
        <v>#N/A</v>
      </c>
      <c r="G259" s="30" t="e">
        <f>#REF!</f>
        <v>#REF!</v>
      </c>
      <c r="H259" s="773" t="e">
        <f t="shared" si="24"/>
        <v>#VALUE!</v>
      </c>
      <c r="I259" s="30"/>
      <c r="J259" s="34" t="s">
        <v>342</v>
      </c>
      <c r="K259" s="49" t="e">
        <f>VLOOKUP(BOM!D259,'RECAP MATIERE'!$A$17:$G$75,7,FALSE)</f>
        <v>#N/A</v>
      </c>
      <c r="L259" s="34" t="s">
        <v>342</v>
      </c>
      <c r="M259" s="34" t="s">
        <v>342</v>
      </c>
      <c r="N259" s="34" t="s">
        <v>342</v>
      </c>
      <c r="O259" s="34" t="s">
        <v>342</v>
      </c>
      <c r="P259" s="34" t="s">
        <v>342</v>
      </c>
      <c r="Q259" s="34" t="s">
        <v>342</v>
      </c>
      <c r="R259" s="34" t="s">
        <v>342</v>
      </c>
      <c r="S259" s="34" t="s">
        <v>342</v>
      </c>
      <c r="T259" s="34" t="s">
        <v>342</v>
      </c>
      <c r="U259" s="34" t="s">
        <v>342</v>
      </c>
      <c r="V259" s="34" t="s">
        <v>342</v>
      </c>
      <c r="W259" s="34" t="s">
        <v>342</v>
      </c>
      <c r="X259" s="34" t="s">
        <v>342</v>
      </c>
      <c r="Y259" s="34"/>
    </row>
    <row r="260" spans="1:25" x14ac:dyDescent="0.3">
      <c r="A260" s="886" t="s">
        <v>523</v>
      </c>
      <c r="B260" s="34"/>
      <c r="C260" s="34"/>
      <c r="D260" s="33" t="s">
        <v>342</v>
      </c>
      <c r="E260" s="49" t="e">
        <f>VLOOKUP(BOM!D260,'RECAP MATIERE'!$A$17:$G$75,5,FALSE)</f>
        <v>#N/A</v>
      </c>
      <c r="F260" s="49" t="e">
        <f>VLOOKUP(BOM!D260,'RECAP MATIERE'!$A$17:$G$75,6,FALSE)</f>
        <v>#N/A</v>
      </c>
      <c r="G260" s="30" t="e">
        <f>#REF!</f>
        <v>#REF!</v>
      </c>
      <c r="H260" s="773" t="e">
        <f t="shared" si="24"/>
        <v>#VALUE!</v>
      </c>
      <c r="I260" s="30"/>
      <c r="J260" s="34" t="s">
        <v>342</v>
      </c>
      <c r="K260" s="49" t="e">
        <f>VLOOKUP(BOM!D260,'RECAP MATIERE'!$A$17:$G$75,7,FALSE)</f>
        <v>#N/A</v>
      </c>
      <c r="L260" s="34" t="s">
        <v>342</v>
      </c>
      <c r="M260" s="34" t="s">
        <v>342</v>
      </c>
      <c r="N260" s="34" t="s">
        <v>342</v>
      </c>
      <c r="O260" s="34" t="s">
        <v>342</v>
      </c>
      <c r="P260" s="34" t="s">
        <v>342</v>
      </c>
      <c r="Q260" s="34" t="s">
        <v>342</v>
      </c>
      <c r="R260" s="34" t="s">
        <v>342</v>
      </c>
      <c r="S260" s="34" t="s">
        <v>342</v>
      </c>
      <c r="T260" s="34" t="s">
        <v>342</v>
      </c>
      <c r="U260" s="34" t="s">
        <v>342</v>
      </c>
      <c r="V260" s="34" t="s">
        <v>342</v>
      </c>
      <c r="W260" s="34" t="s">
        <v>342</v>
      </c>
      <c r="X260" s="34" t="s">
        <v>342</v>
      </c>
      <c r="Y260" s="34"/>
    </row>
    <row r="261" spans="1:25" x14ac:dyDescent="0.3">
      <c r="A261" s="886" t="s">
        <v>524</v>
      </c>
      <c r="B261" s="34"/>
      <c r="C261" s="34"/>
      <c r="D261" s="33" t="s">
        <v>342</v>
      </c>
      <c r="E261" s="49" t="e">
        <f>VLOOKUP(BOM!D261,'RECAP MATIERE'!$A$17:$G$75,5,FALSE)</f>
        <v>#N/A</v>
      </c>
      <c r="F261" s="49" t="e">
        <f>VLOOKUP(BOM!D261,'RECAP MATIERE'!$A$17:$G$75,6,FALSE)</f>
        <v>#N/A</v>
      </c>
      <c r="G261" s="30" t="e">
        <f>#REF!</f>
        <v>#REF!</v>
      </c>
      <c r="H261" s="773" t="e">
        <f t="shared" si="24"/>
        <v>#VALUE!</v>
      </c>
      <c r="I261" s="30"/>
      <c r="J261" s="34" t="s">
        <v>342</v>
      </c>
      <c r="K261" s="49" t="e">
        <f>VLOOKUP(BOM!D261,'RECAP MATIERE'!$A$17:$G$75,7,FALSE)</f>
        <v>#N/A</v>
      </c>
      <c r="L261" s="34" t="s">
        <v>342</v>
      </c>
      <c r="M261" s="34" t="s">
        <v>342</v>
      </c>
      <c r="N261" s="34" t="s">
        <v>342</v>
      </c>
      <c r="O261" s="34" t="s">
        <v>342</v>
      </c>
      <c r="P261" s="34" t="s">
        <v>342</v>
      </c>
      <c r="Q261" s="34" t="s">
        <v>342</v>
      </c>
      <c r="R261" s="34" t="s">
        <v>342</v>
      </c>
      <c r="S261" s="34" t="s">
        <v>342</v>
      </c>
      <c r="T261" s="34" t="s">
        <v>342</v>
      </c>
      <c r="U261" s="34" t="s">
        <v>342</v>
      </c>
      <c r="V261" s="34" t="s">
        <v>342</v>
      </c>
      <c r="W261" s="34" t="s">
        <v>342</v>
      </c>
      <c r="X261" s="34" t="s">
        <v>342</v>
      </c>
      <c r="Y261" s="34"/>
    </row>
    <row r="262" spans="1:25" x14ac:dyDescent="0.3">
      <c r="A262" s="886" t="s">
        <v>525</v>
      </c>
      <c r="B262" s="34"/>
      <c r="C262" s="34"/>
      <c r="D262" s="34"/>
      <c r="E262" s="49" t="e">
        <f>VLOOKUP(BOM!D262,'RECAP MATIERE'!$A$17:$G$75,5,FALSE)</f>
        <v>#N/A</v>
      </c>
      <c r="F262" s="49" t="e">
        <f>VLOOKUP(BOM!D262,'RECAP MATIERE'!$A$17:$G$75,6,FALSE)</f>
        <v>#N/A</v>
      </c>
      <c r="G262" s="30" t="e">
        <f>#REF!</f>
        <v>#REF!</v>
      </c>
      <c r="H262" s="773"/>
      <c r="I262" s="30"/>
      <c r="J262" s="34"/>
      <c r="K262" s="49"/>
      <c r="L262" s="34"/>
      <c r="M262" s="34"/>
      <c r="N262" s="34"/>
      <c r="O262" s="34"/>
      <c r="P262" s="34"/>
      <c r="Q262" s="34"/>
      <c r="R262" s="34"/>
      <c r="S262" s="34"/>
      <c r="T262" s="34"/>
      <c r="U262" s="34"/>
      <c r="V262" s="34"/>
      <c r="W262" s="34"/>
      <c r="X262" s="34"/>
      <c r="Y262" s="34"/>
    </row>
    <row r="263" spans="1:25" ht="43.2" x14ac:dyDescent="0.3">
      <c r="A263" s="886" t="s">
        <v>526</v>
      </c>
      <c r="B263" s="34" t="s">
        <v>527</v>
      </c>
      <c r="C263" s="34"/>
      <c r="D263" s="34" t="s">
        <v>391</v>
      </c>
      <c r="E263" s="49" t="str">
        <f>VLOOKUP(BOM!D263,'RECAP MATIERE'!$A$17:$G$75,5,FALSE)</f>
        <v>All-purpose cleaners and sanitary cleaners (limites planétaires, 500mL) =&gt; Nettoyage/siège/an</v>
      </c>
      <c r="F263" s="49" t="str">
        <f>VLOOKUP(BOM!D263,'RECAP MATIERE'!$A$17:$G$75,6,FALSE)</f>
        <v>N/A</v>
      </c>
      <c r="G263" s="30">
        <v>1</v>
      </c>
      <c r="H263" s="773">
        <f t="shared" si="24"/>
        <v>0</v>
      </c>
      <c r="I263" s="30"/>
      <c r="J263" s="34"/>
      <c r="K263" s="49" t="str">
        <f>VLOOKUP(BOM!D263,'RECAP MATIERE'!$A$17:$G$75,7,FALSE)</f>
        <v>N/A</v>
      </c>
      <c r="L263" s="34"/>
      <c r="M263" s="34"/>
      <c r="N263" s="34"/>
      <c r="O263" s="34"/>
      <c r="P263" s="34"/>
      <c r="Q263" s="34"/>
      <c r="R263" s="34"/>
      <c r="S263" s="34"/>
      <c r="T263" s="34"/>
      <c r="U263" s="34"/>
      <c r="V263" s="34"/>
      <c r="W263" s="34"/>
      <c r="X263" s="34"/>
      <c r="Y263" s="34"/>
    </row>
    <row r="264" spans="1:25" x14ac:dyDescent="0.3">
      <c r="A264" s="886" t="s">
        <v>528</v>
      </c>
      <c r="B264" s="34"/>
      <c r="C264" s="34"/>
      <c r="D264" s="34"/>
      <c r="E264" s="49" t="e">
        <f>VLOOKUP(BOM!D264,'RECAP MATIERE'!$A$17:$G$75,5,FALSE)</f>
        <v>#N/A</v>
      </c>
      <c r="F264" s="49" t="e">
        <f>VLOOKUP(BOM!D264,'RECAP MATIERE'!$A$17:$G$75,6,FALSE)</f>
        <v>#N/A</v>
      </c>
      <c r="G264" s="30"/>
      <c r="H264" s="773" t="e">
        <f t="shared" si="24"/>
        <v>#DIV/0!</v>
      </c>
      <c r="I264" s="30"/>
      <c r="J264" s="34"/>
      <c r="K264" s="49" t="e">
        <f>VLOOKUP(BOM!D264,'RECAP MATIERE'!$A$17:$G$75,7,FALSE)</f>
        <v>#N/A</v>
      </c>
      <c r="L264" s="34"/>
      <c r="M264" s="34"/>
      <c r="N264" s="34"/>
      <c r="O264" s="34"/>
      <c r="P264" s="34"/>
      <c r="Q264" s="34"/>
      <c r="R264" s="34"/>
      <c r="S264" s="34"/>
      <c r="T264" s="34"/>
      <c r="U264" s="34"/>
      <c r="V264" s="34"/>
      <c r="W264" s="34"/>
      <c r="X264" s="34"/>
      <c r="Y264" s="34"/>
    </row>
  </sheetData>
  <autoFilter ref="A1:Y269" xr:uid="{00000000-0009-0000-0000-000006000000}"/>
  <pageMargins left="0.7" right="0.7" top="0.75" bottom="0.75" header="0.3" footer="0.3"/>
  <pageSetup paperSize="9" orientation="portrait"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Feuil3"/>
  <dimension ref="A1:Q277"/>
  <sheetViews>
    <sheetView zoomScale="55" zoomScaleNormal="55" workbookViewId="0">
      <selection activeCell="B54" sqref="B54"/>
    </sheetView>
  </sheetViews>
  <sheetFormatPr baseColWidth="10" defaultColWidth="11.44140625" defaultRowHeight="14.4" x14ac:dyDescent="0.3"/>
  <cols>
    <col min="1" max="1" width="33.44140625" style="29" customWidth="1"/>
    <col min="2" max="2" width="81.44140625" bestFit="1" customWidth="1"/>
    <col min="3" max="3" width="27.6640625" style="50" customWidth="1"/>
    <col min="4" max="4" width="35.88671875" bestFit="1" customWidth="1"/>
    <col min="5" max="5" width="13.44140625" style="3" bestFit="1" customWidth="1"/>
    <col min="6" max="6" width="34.44140625" style="3" bestFit="1" customWidth="1"/>
    <col min="7" max="7" width="34.44140625" style="1" customWidth="1"/>
    <col min="8" max="8" width="34.44140625" style="3" customWidth="1"/>
    <col min="9" max="9" width="34.44140625" style="1" customWidth="1"/>
    <col min="10" max="10" width="34.44140625" style="3" customWidth="1"/>
    <col min="11" max="11" width="34.44140625" style="1" customWidth="1"/>
    <col min="12" max="12" width="36" bestFit="1" customWidth="1"/>
    <col min="13" max="13" width="20.109375" bestFit="1" customWidth="1"/>
    <col min="14" max="14" width="45.88671875" customWidth="1"/>
    <col min="15" max="15" width="45.109375" customWidth="1"/>
    <col min="16" max="16" width="45.109375" bestFit="1" customWidth="1"/>
    <col min="17" max="17" width="16" customWidth="1"/>
  </cols>
  <sheetData>
    <row r="1" spans="1:17" ht="39.9" customHeight="1" thickBot="1" x14ac:dyDescent="0.35">
      <c r="A1" s="723" t="s">
        <v>4</v>
      </c>
      <c r="B1" s="720" t="s">
        <v>5</v>
      </c>
      <c r="C1" s="721" t="s">
        <v>7</v>
      </c>
      <c r="D1" s="720" t="s">
        <v>8</v>
      </c>
      <c r="E1" s="720" t="s">
        <v>9</v>
      </c>
      <c r="F1" s="720" t="s">
        <v>529</v>
      </c>
      <c r="G1" s="1091" t="s">
        <v>530</v>
      </c>
      <c r="H1" s="1091"/>
      <c r="I1" s="1091"/>
      <c r="J1" s="1091"/>
      <c r="K1" s="720"/>
      <c r="L1" s="720" t="s">
        <v>11</v>
      </c>
      <c r="M1" s="720" t="s">
        <v>12</v>
      </c>
      <c r="N1" s="720" t="s">
        <v>13</v>
      </c>
      <c r="O1" s="726" t="s">
        <v>15</v>
      </c>
      <c r="P1" s="720" t="s">
        <v>16</v>
      </c>
      <c r="Q1" s="720" t="s">
        <v>17</v>
      </c>
    </row>
    <row r="2" spans="1:17" ht="15" thickBot="1" x14ac:dyDescent="0.35">
      <c r="A2" s="722"/>
      <c r="B2" s="719"/>
      <c r="C2" s="718"/>
      <c r="D2" s="717"/>
      <c r="E2" s="724"/>
      <c r="F2" s="720" t="s">
        <v>402</v>
      </c>
      <c r="G2" s="725" t="s">
        <v>530</v>
      </c>
      <c r="H2" s="720" t="s">
        <v>404</v>
      </c>
      <c r="I2" s="725" t="s">
        <v>406</v>
      </c>
      <c r="J2" s="720" t="s">
        <v>407</v>
      </c>
      <c r="K2" s="691"/>
      <c r="L2" s="717"/>
      <c r="M2" s="717"/>
      <c r="N2" s="717"/>
      <c r="O2" s="717"/>
      <c r="P2" s="717"/>
      <c r="Q2" s="717"/>
    </row>
    <row r="3" spans="1:17" ht="15.75" customHeight="1" x14ac:dyDescent="0.3">
      <c r="A3" s="1071" t="s">
        <v>39</v>
      </c>
      <c r="B3" s="1025" t="s">
        <v>40</v>
      </c>
      <c r="C3" s="40"/>
      <c r="D3" s="125" t="s">
        <v>234</v>
      </c>
      <c r="E3" s="125">
        <f>SUM(E4:E15)</f>
        <v>23.346099999999993</v>
      </c>
      <c r="F3" s="44">
        <f>SUM(F4:F5)</f>
        <v>80.945999999999998</v>
      </c>
      <c r="G3" s="141"/>
      <c r="H3" s="44">
        <f>SUM(H4:H5)</f>
        <v>97.436999999999998</v>
      </c>
      <c r="I3" s="141">
        <f>SUM(I4:I5)</f>
        <v>1.345</v>
      </c>
      <c r="J3" s="703"/>
      <c r="K3" s="450"/>
      <c r="L3" s="1007" t="s">
        <v>414</v>
      </c>
      <c r="M3" s="1007" t="s">
        <v>42</v>
      </c>
      <c r="N3" s="1114" t="s">
        <v>415</v>
      </c>
      <c r="O3" s="655"/>
      <c r="P3" s="1118"/>
      <c r="Q3" s="1109" t="s">
        <v>44</v>
      </c>
    </row>
    <row r="4" spans="1:17" x14ac:dyDescent="0.3">
      <c r="A4" s="1113"/>
      <c r="B4" s="1026"/>
      <c r="D4" s="77" t="s">
        <v>47</v>
      </c>
      <c r="E4" s="71">
        <f>SUM(E19:E25,E42:E46,E76:E77,E109,E115:E117,E132,E151:E152)</f>
        <v>12.761099999999999</v>
      </c>
      <c r="F4" s="162">
        <f>SUM(F19:F25,F42:F46,F76:F77,F115)</f>
        <v>62.688000000000002</v>
      </c>
      <c r="G4" s="162"/>
      <c r="H4" s="195">
        <f>SUM(H19:H24,H42:H46,H76,H109,H115,H132,H151:H152)</f>
        <v>74.061999999999998</v>
      </c>
      <c r="I4" s="162">
        <f>SUM(I19:I25,I42:I46,I76:I77,I109,I115,I132,I151:I152)</f>
        <v>0.82499999999999996</v>
      </c>
      <c r="J4" s="165" t="s">
        <v>51</v>
      </c>
      <c r="K4" s="357"/>
      <c r="L4" s="1008"/>
      <c r="M4" s="1008"/>
      <c r="N4" s="1115"/>
      <c r="O4" s="656"/>
      <c r="P4" s="1119"/>
      <c r="Q4" s="1110"/>
    </row>
    <row r="5" spans="1:17" x14ac:dyDescent="0.3">
      <c r="A5" s="1113"/>
      <c r="B5" s="1026"/>
      <c r="D5" s="197" t="s">
        <v>252</v>
      </c>
      <c r="E5" s="70">
        <f>SUM(E47:E50,E78:E81,E118:E119,E153)</f>
        <v>5.6589999999999989</v>
      </c>
      <c r="F5" s="117">
        <f>SUM(F47:F50,F78:F81,F118)</f>
        <v>18.257999999999999</v>
      </c>
      <c r="G5" s="117"/>
      <c r="H5" s="457">
        <f>SUM(H47:H50,H78:H81,H118:H119,H153)</f>
        <v>23.375</v>
      </c>
      <c r="I5" s="117">
        <f>SUM(I47:I49,I78:I81,I118:I119,I153)</f>
        <v>0.52</v>
      </c>
      <c r="J5" s="160" t="s">
        <v>51</v>
      </c>
      <c r="K5" s="357"/>
      <c r="L5" s="1008"/>
      <c r="M5" s="1008"/>
      <c r="N5" s="1115"/>
      <c r="O5" s="656"/>
      <c r="P5" s="1119"/>
      <c r="Q5" s="1110"/>
    </row>
    <row r="6" spans="1:17" x14ac:dyDescent="0.3">
      <c r="A6" s="1113"/>
      <c r="B6" s="1026"/>
      <c r="D6" s="72" t="s">
        <v>91</v>
      </c>
      <c r="E6" s="277">
        <f>SUM(E51,E82,E134)</f>
        <v>0.45799999999999996</v>
      </c>
      <c r="F6" s="357"/>
      <c r="G6" s="357"/>
      <c r="H6" s="299"/>
      <c r="I6" s="357"/>
      <c r="J6" s="692"/>
      <c r="K6" s="357"/>
      <c r="L6" s="1008"/>
      <c r="M6" s="1008"/>
      <c r="N6" s="1115"/>
      <c r="O6" s="656"/>
      <c r="P6" s="1119"/>
      <c r="Q6" s="1110"/>
    </row>
    <row r="7" spans="1:17" x14ac:dyDescent="0.3">
      <c r="A7" s="1113"/>
      <c r="B7" s="1026"/>
      <c r="D7" s="179" t="s">
        <v>270</v>
      </c>
      <c r="E7" s="179">
        <f>SUM(E26,E52:E53,E83:E84,E111,E120:E121,E135:E137,E154)</f>
        <v>1.4169999999999996</v>
      </c>
      <c r="F7" s="357"/>
      <c r="G7" s="357"/>
      <c r="H7" s="299"/>
      <c r="I7" s="357"/>
      <c r="J7" s="692"/>
      <c r="K7" s="357"/>
      <c r="L7" s="1008"/>
      <c r="M7" s="1008"/>
      <c r="N7" s="1115"/>
      <c r="O7" s="656"/>
      <c r="P7" s="1119"/>
      <c r="Q7" s="1110"/>
    </row>
    <row r="8" spans="1:17" x14ac:dyDescent="0.3">
      <c r="A8" s="1113"/>
      <c r="B8" s="1026"/>
      <c r="D8" s="168" t="s">
        <v>244</v>
      </c>
      <c r="E8" s="247">
        <f>SUM(E27:E28,E54,E85:E88,E122:E123)</f>
        <v>4.5000000000000005E-2</v>
      </c>
      <c r="F8" s="357"/>
      <c r="G8" s="357"/>
      <c r="H8" s="299"/>
      <c r="I8" s="357"/>
      <c r="J8" s="692"/>
      <c r="K8" s="357"/>
      <c r="L8" s="1008"/>
      <c r="M8" s="1008"/>
      <c r="N8" s="1115"/>
      <c r="O8" s="656"/>
      <c r="P8" s="1119"/>
      <c r="Q8" s="1110"/>
    </row>
    <row r="9" spans="1:17" x14ac:dyDescent="0.3">
      <c r="A9" s="1113"/>
      <c r="B9" s="1026"/>
      <c r="D9" s="172" t="s">
        <v>253</v>
      </c>
      <c r="E9" s="172">
        <f>SUM(E29:E37,E55:E68,E89:E102,E110,E124:E127,E138:E142,E155:E163,E167:E168)</f>
        <v>1.6869999999999981</v>
      </c>
      <c r="F9" s="357"/>
      <c r="G9" s="357"/>
      <c r="H9" s="299"/>
      <c r="I9" s="357"/>
      <c r="J9" s="692"/>
      <c r="K9" s="357"/>
      <c r="L9" s="1008"/>
      <c r="M9" s="1008"/>
      <c r="N9" s="1115"/>
      <c r="O9" s="656"/>
      <c r="P9" s="1119"/>
      <c r="Q9" s="1110"/>
    </row>
    <row r="10" spans="1:17" x14ac:dyDescent="0.3">
      <c r="A10" s="1113"/>
      <c r="B10" s="1026"/>
      <c r="D10" s="76" t="s">
        <v>288</v>
      </c>
      <c r="E10" s="76">
        <f>SUM(E133,E164)</f>
        <v>0.308</v>
      </c>
      <c r="F10" s="357"/>
      <c r="G10" s="357"/>
      <c r="H10" s="299"/>
      <c r="I10" s="357"/>
      <c r="J10" s="692"/>
      <c r="K10" s="357"/>
      <c r="L10" s="1008"/>
      <c r="M10" s="1008"/>
      <c r="N10" s="1115"/>
      <c r="O10" s="656"/>
      <c r="P10" s="1119"/>
      <c r="Q10" s="1110"/>
    </row>
    <row r="11" spans="1:17" x14ac:dyDescent="0.3">
      <c r="A11" s="1113"/>
      <c r="B11" s="1026"/>
      <c r="D11" s="216" t="s">
        <v>248</v>
      </c>
      <c r="E11" s="188">
        <f>SUM(E38,E69,E128)</f>
        <v>6.0000000000000001E-3</v>
      </c>
      <c r="F11" s="357"/>
      <c r="G11" s="357"/>
      <c r="H11" s="299"/>
      <c r="I11" s="357"/>
      <c r="J11" s="692"/>
      <c r="K11" s="357"/>
      <c r="L11" s="1008"/>
      <c r="M11" s="1008"/>
      <c r="N11" s="1115"/>
      <c r="O11" s="656"/>
      <c r="P11" s="1119"/>
      <c r="Q11" s="1110"/>
    </row>
    <row r="12" spans="1:17" x14ac:dyDescent="0.3">
      <c r="A12" s="1113"/>
      <c r="B12" s="1026"/>
      <c r="D12" s="74" t="s">
        <v>247</v>
      </c>
      <c r="E12" s="74">
        <f>SUM(E70,E103)</f>
        <v>6.0999999999999999E-2</v>
      </c>
      <c r="F12" s="357"/>
      <c r="G12" s="357"/>
      <c r="H12" s="299"/>
      <c r="I12" s="357"/>
      <c r="J12" s="692"/>
      <c r="K12" s="357"/>
      <c r="L12" s="1008"/>
      <c r="M12" s="1008"/>
      <c r="N12" s="1115"/>
      <c r="O12" s="656"/>
      <c r="P12" s="1119"/>
      <c r="Q12" s="1110"/>
    </row>
    <row r="13" spans="1:17" x14ac:dyDescent="0.3">
      <c r="A13" s="1113"/>
      <c r="B13" s="1026"/>
      <c r="D13" s="209" t="s">
        <v>273</v>
      </c>
      <c r="E13" s="303">
        <f>SUM(E143:E144)</f>
        <v>0.86699999999999999</v>
      </c>
      <c r="F13" s="357"/>
      <c r="G13" s="357"/>
      <c r="H13" s="299"/>
      <c r="I13" s="357"/>
      <c r="J13" s="692"/>
      <c r="K13" s="357"/>
      <c r="L13" s="1008"/>
      <c r="M13" s="1008"/>
      <c r="N13" s="1116"/>
      <c r="O13" s="657"/>
      <c r="P13" s="1120"/>
      <c r="Q13" s="1111"/>
    </row>
    <row r="14" spans="1:17" ht="15" thickBot="1" x14ac:dyDescent="0.35">
      <c r="A14" s="1113"/>
      <c r="B14" s="1026"/>
      <c r="D14" s="211" t="s">
        <v>276</v>
      </c>
      <c r="E14" s="194">
        <f>SUM(E145)</f>
        <v>2E-3</v>
      </c>
      <c r="F14" s="357"/>
      <c r="G14" s="357"/>
      <c r="H14" s="299"/>
      <c r="I14" s="357"/>
      <c r="J14" s="692"/>
      <c r="K14" s="357"/>
      <c r="L14" s="1008"/>
      <c r="M14" s="1008"/>
      <c r="N14" s="1116"/>
      <c r="O14" s="657"/>
      <c r="P14" s="1120"/>
      <c r="Q14" s="1111"/>
    </row>
    <row r="15" spans="1:17" ht="15" thickBot="1" x14ac:dyDescent="0.35">
      <c r="A15" s="1072"/>
      <c r="B15" s="1027"/>
      <c r="C15" s="41"/>
      <c r="D15" s="231" t="s">
        <v>240</v>
      </c>
      <c r="E15" s="272">
        <f>SUM(E71:E72,E146,E171)</f>
        <v>7.5000000000000011E-2</v>
      </c>
      <c r="F15" s="451"/>
      <c r="G15" s="451"/>
      <c r="H15" s="653"/>
      <c r="I15" s="451"/>
      <c r="J15" s="693"/>
      <c r="K15" s="451"/>
      <c r="L15" s="1009"/>
      <c r="M15" s="1009"/>
      <c r="N15" s="1117"/>
      <c r="O15" s="658"/>
      <c r="P15" s="1121"/>
      <c r="Q15" s="1112"/>
    </row>
    <row r="16" spans="1:17" x14ac:dyDescent="0.3">
      <c r="A16" s="271"/>
      <c r="B16" s="161"/>
      <c r="D16" s="3"/>
      <c r="G16" s="119"/>
      <c r="I16" s="119"/>
      <c r="K16" s="3"/>
      <c r="L16" s="142"/>
      <c r="M16" s="142"/>
      <c r="N16" s="161"/>
      <c r="O16" s="1"/>
      <c r="P16" s="1"/>
      <c r="Q16" s="1"/>
    </row>
    <row r="17" spans="1:17" ht="15" thickBot="1" x14ac:dyDescent="0.35">
      <c r="A17"/>
      <c r="C17" s="3"/>
      <c r="E17" s="1"/>
      <c r="G17" s="662"/>
      <c r="I17" s="662"/>
      <c r="J17" s="17"/>
      <c r="K17"/>
    </row>
    <row r="18" spans="1:17" ht="15" thickBot="1" x14ac:dyDescent="0.35">
      <c r="A18" s="1101" t="s">
        <v>300</v>
      </c>
      <c r="B18" s="83" t="s">
        <v>531</v>
      </c>
      <c r="C18" s="44"/>
      <c r="D18" s="739" t="s">
        <v>532</v>
      </c>
      <c r="E18" s="740">
        <f>SUM(E19:E38)</f>
        <v>8.323000000000004</v>
      </c>
      <c r="F18" s="735" t="s">
        <v>402</v>
      </c>
      <c r="G18" s="736" t="s">
        <v>530</v>
      </c>
      <c r="H18" s="735" t="s">
        <v>404</v>
      </c>
      <c r="I18" s="735" t="s">
        <v>406</v>
      </c>
      <c r="J18" s="737" t="s">
        <v>407</v>
      </c>
      <c r="K18" s="5"/>
      <c r="L18" s="648"/>
      <c r="M18" s="1007"/>
      <c r="N18" s="1045"/>
      <c r="O18" s="5"/>
      <c r="P18" s="5"/>
      <c r="Q18" s="6"/>
    </row>
    <row r="19" spans="1:17" x14ac:dyDescent="0.3">
      <c r="A19" s="1102"/>
      <c r="B19" s="126" t="s">
        <v>533</v>
      </c>
      <c r="C19" s="1099" t="s">
        <v>414</v>
      </c>
      <c r="D19" s="1127" t="s">
        <v>47</v>
      </c>
      <c r="E19" s="249">
        <v>3.22</v>
      </c>
      <c r="F19" s="162">
        <f t="shared" ref="F19:F24" si="0">SUM(H19-E19)</f>
        <v>23.443000000000001</v>
      </c>
      <c r="G19" s="162" t="s">
        <v>534</v>
      </c>
      <c r="H19" s="195">
        <v>26.663</v>
      </c>
      <c r="I19" s="162">
        <v>0.214</v>
      </c>
      <c r="J19" s="1092" t="s">
        <v>51</v>
      </c>
      <c r="K19" s="3"/>
      <c r="L19" s="1008" t="s">
        <v>414</v>
      </c>
      <c r="M19" s="1008"/>
      <c r="N19" s="1046"/>
      <c r="Q19" s="8"/>
    </row>
    <row r="20" spans="1:17" x14ac:dyDescent="0.3">
      <c r="A20" s="1102"/>
      <c r="B20" s="126" t="s">
        <v>535</v>
      </c>
      <c r="C20" s="1099"/>
      <c r="D20" s="1092"/>
      <c r="E20" s="162">
        <v>3.22</v>
      </c>
      <c r="F20" s="162">
        <f t="shared" si="0"/>
        <v>23.443000000000001</v>
      </c>
      <c r="G20" s="162" t="s">
        <v>534</v>
      </c>
      <c r="H20" s="195">
        <v>26.663</v>
      </c>
      <c r="I20" s="162">
        <v>0.214</v>
      </c>
      <c r="J20" s="1092"/>
      <c r="K20" s="3"/>
      <c r="L20" s="1008"/>
      <c r="M20" s="1008"/>
      <c r="N20" s="1046"/>
      <c r="Q20" s="8"/>
    </row>
    <row r="21" spans="1:17" x14ac:dyDescent="0.3">
      <c r="A21" s="1102"/>
      <c r="B21" s="126" t="s">
        <v>536</v>
      </c>
      <c r="C21" s="1099"/>
      <c r="D21" s="1092"/>
      <c r="E21" s="162">
        <v>0.4</v>
      </c>
      <c r="F21" s="162">
        <f t="shared" si="0"/>
        <v>2.7450000000000001</v>
      </c>
      <c r="G21" s="162" t="s">
        <v>537</v>
      </c>
      <c r="H21" s="195">
        <v>3.145</v>
      </c>
      <c r="I21" s="162">
        <v>3.2000000000000001E-2</v>
      </c>
      <c r="J21" s="1092"/>
      <c r="K21" s="3"/>
      <c r="L21" s="1008"/>
      <c r="M21" s="1008"/>
      <c r="N21" s="1046"/>
      <c r="Q21" s="8"/>
    </row>
    <row r="22" spans="1:17" x14ac:dyDescent="0.3">
      <c r="A22" s="1102"/>
      <c r="B22" s="126" t="s">
        <v>538</v>
      </c>
      <c r="C22" s="1099"/>
      <c r="D22" s="1092"/>
      <c r="E22" s="162">
        <v>0.629</v>
      </c>
      <c r="F22" s="162">
        <f t="shared" si="0"/>
        <v>2.3130000000000002</v>
      </c>
      <c r="G22" s="162" t="s">
        <v>539</v>
      </c>
      <c r="H22" s="195">
        <v>2.9420000000000002</v>
      </c>
      <c r="I22" s="162">
        <v>5.2999999999999999E-2</v>
      </c>
      <c r="J22" s="1092"/>
      <c r="K22" s="3"/>
      <c r="L22" s="1008"/>
      <c r="M22" s="1008"/>
      <c r="N22" s="1046"/>
      <c r="Q22" s="8"/>
    </row>
    <row r="23" spans="1:17" x14ac:dyDescent="0.3">
      <c r="A23" s="1102"/>
      <c r="B23" s="126" t="s">
        <v>540</v>
      </c>
      <c r="C23" s="1099"/>
      <c r="D23" s="1092"/>
      <c r="E23" s="162">
        <v>0.222</v>
      </c>
      <c r="F23" s="162">
        <f t="shared" si="0"/>
        <v>4.0000000000000036E-3</v>
      </c>
      <c r="G23" s="162" t="s">
        <v>541</v>
      </c>
      <c r="H23" s="195">
        <v>0.22600000000000001</v>
      </c>
      <c r="I23" s="162">
        <v>0.01</v>
      </c>
      <c r="J23" s="1092"/>
      <c r="K23" s="3"/>
      <c r="L23" s="640" t="s">
        <v>542</v>
      </c>
      <c r="M23" s="1008"/>
      <c r="N23" s="1046"/>
      <c r="Q23" s="8"/>
    </row>
    <row r="24" spans="1:17" x14ac:dyDescent="0.3">
      <c r="A24" s="1102"/>
      <c r="B24" s="126" t="s">
        <v>543</v>
      </c>
      <c r="C24" s="1099"/>
      <c r="D24" s="1092"/>
      <c r="E24" s="162">
        <v>0.32600000000000001</v>
      </c>
      <c r="F24" s="162">
        <f t="shared" si="0"/>
        <v>1.0000000000000009E-2</v>
      </c>
      <c r="G24" s="162" t="s">
        <v>544</v>
      </c>
      <c r="H24" s="195">
        <v>0.33600000000000002</v>
      </c>
      <c r="I24" s="162">
        <v>0.06</v>
      </c>
      <c r="J24" s="1092"/>
      <c r="K24" s="3"/>
      <c r="L24" s="640"/>
      <c r="M24" s="1008"/>
      <c r="N24" s="1046"/>
      <c r="Q24" s="8"/>
    </row>
    <row r="25" spans="1:17" x14ac:dyDescent="0.3">
      <c r="A25" s="1102"/>
      <c r="B25" s="126" t="s">
        <v>545</v>
      </c>
      <c r="C25" s="1099"/>
      <c r="D25" s="1092"/>
      <c r="E25" s="162">
        <v>5.0000000000000001E-3</v>
      </c>
      <c r="F25" s="732"/>
      <c r="G25" s="162"/>
      <c r="H25" s="195"/>
      <c r="I25" s="162"/>
      <c r="J25" s="1092"/>
      <c r="K25" s="3"/>
      <c r="L25" s="640"/>
      <c r="M25" s="1008"/>
      <c r="N25" s="1046"/>
      <c r="Q25" s="8"/>
    </row>
    <row r="26" spans="1:17" x14ac:dyDescent="0.3">
      <c r="A26" s="1102"/>
      <c r="B26" s="182" t="s">
        <v>546</v>
      </c>
      <c r="C26" s="1099"/>
      <c r="D26" s="264" t="s">
        <v>270</v>
      </c>
      <c r="E26" s="181">
        <v>5.0000000000000001E-3</v>
      </c>
      <c r="F26" s="368"/>
      <c r="G26" s="180"/>
      <c r="H26" s="368"/>
      <c r="I26" s="180"/>
      <c r="J26" s="368"/>
      <c r="K26" s="3"/>
      <c r="L26" s="649"/>
      <c r="M26" s="1008"/>
      <c r="N26" s="1046"/>
      <c r="Q26" s="8"/>
    </row>
    <row r="27" spans="1:17" x14ac:dyDescent="0.3">
      <c r="A27" s="1102"/>
      <c r="B27" s="171" t="s">
        <v>547</v>
      </c>
      <c r="C27" s="1099"/>
      <c r="D27" s="1107" t="s">
        <v>244</v>
      </c>
      <c r="E27" s="170">
        <v>5.0000000000000001E-3</v>
      </c>
      <c r="F27" s="1098"/>
      <c r="G27" s="1098"/>
      <c r="H27" s="1098"/>
      <c r="I27" s="1098"/>
      <c r="K27" s="3"/>
      <c r="L27" s="649"/>
      <c r="M27" s="1008"/>
      <c r="N27" s="1046"/>
      <c r="Q27" s="8"/>
    </row>
    <row r="28" spans="1:17" x14ac:dyDescent="0.3">
      <c r="A28" s="1102"/>
      <c r="B28" s="171" t="s">
        <v>548</v>
      </c>
      <c r="C28" s="1099"/>
      <c r="D28" s="1107"/>
      <c r="E28" s="170">
        <v>6.0000000000000001E-3</v>
      </c>
      <c r="F28" s="1098"/>
      <c r="G28" s="1098"/>
      <c r="H28" s="1098"/>
      <c r="I28" s="1098"/>
      <c r="K28" s="3"/>
      <c r="L28" s="649"/>
      <c r="M28" s="1008"/>
      <c r="N28" s="1046"/>
      <c r="Q28" s="8"/>
    </row>
    <row r="29" spans="1:17" x14ac:dyDescent="0.3">
      <c r="A29" s="1102"/>
      <c r="B29" s="98" t="s">
        <v>549</v>
      </c>
      <c r="C29" s="1099"/>
      <c r="D29" s="1108" t="s">
        <v>253</v>
      </c>
      <c r="E29" s="174">
        <v>2.7E-2</v>
      </c>
      <c r="F29" s="1096"/>
      <c r="G29" s="173"/>
      <c r="H29" s="365"/>
      <c r="I29" s="173"/>
      <c r="K29" s="3"/>
      <c r="L29" s="649"/>
      <c r="M29" s="1008"/>
      <c r="N29" s="1046"/>
      <c r="Q29" s="8"/>
    </row>
    <row r="30" spans="1:17" x14ac:dyDescent="0.3">
      <c r="A30" s="1102"/>
      <c r="B30" s="98" t="s">
        <v>550</v>
      </c>
      <c r="C30" s="1099"/>
      <c r="D30" s="1108"/>
      <c r="E30" s="174">
        <v>0.122</v>
      </c>
      <c r="F30" s="1096"/>
      <c r="G30" s="173"/>
      <c r="H30" s="365"/>
      <c r="I30" s="173"/>
      <c r="K30" s="3"/>
      <c r="L30" s="649"/>
      <c r="M30" s="1008"/>
      <c r="N30" s="1046"/>
      <c r="Q30" s="8"/>
    </row>
    <row r="31" spans="1:17" x14ac:dyDescent="0.3">
      <c r="A31" s="1102"/>
      <c r="B31" s="98" t="s">
        <v>551</v>
      </c>
      <c r="C31" s="1099"/>
      <c r="D31" s="1108"/>
      <c r="E31" s="174">
        <v>8.9999999999999993E-3</v>
      </c>
      <c r="F31" s="1096"/>
      <c r="G31" s="173"/>
      <c r="H31" s="365"/>
      <c r="I31" s="173"/>
      <c r="K31" s="3"/>
      <c r="L31" s="649"/>
      <c r="M31" s="1008"/>
      <c r="N31" s="1046"/>
      <c r="Q31" s="8"/>
    </row>
    <row r="32" spans="1:17" x14ac:dyDescent="0.3">
      <c r="A32" s="1102"/>
      <c r="B32" s="98" t="s">
        <v>552</v>
      </c>
      <c r="C32" s="1099"/>
      <c r="D32" s="1108"/>
      <c r="E32" s="174">
        <v>4.7E-2</v>
      </c>
      <c r="F32" s="1096"/>
      <c r="G32" s="173"/>
      <c r="H32" s="365"/>
      <c r="I32" s="173"/>
      <c r="K32" s="3"/>
      <c r="L32" s="649"/>
      <c r="M32" s="1008"/>
      <c r="N32" s="1046"/>
      <c r="Q32" s="8"/>
    </row>
    <row r="33" spans="1:17" x14ac:dyDescent="0.3">
      <c r="A33" s="1102"/>
      <c r="B33" s="98" t="s">
        <v>553</v>
      </c>
      <c r="C33" s="1099"/>
      <c r="D33" s="1108"/>
      <c r="E33" s="174">
        <v>1.2999999999999999E-2</v>
      </c>
      <c r="F33" s="1096"/>
      <c r="G33" s="173"/>
      <c r="H33" s="365"/>
      <c r="I33" s="173"/>
      <c r="K33" s="3"/>
      <c r="L33" s="649"/>
      <c r="M33" s="1008"/>
      <c r="N33" s="1046"/>
      <c r="Q33" s="8"/>
    </row>
    <row r="34" spans="1:17" x14ac:dyDescent="0.3">
      <c r="A34" s="1102"/>
      <c r="B34" s="98" t="s">
        <v>554</v>
      </c>
      <c r="C34" s="1099"/>
      <c r="D34" s="1108"/>
      <c r="E34" s="174">
        <v>0.03</v>
      </c>
      <c r="F34" s="1096"/>
      <c r="G34" s="173"/>
      <c r="H34" s="365"/>
      <c r="I34" s="173"/>
      <c r="K34" s="3"/>
      <c r="L34" s="649"/>
      <c r="M34" s="1008"/>
      <c r="N34" s="1046"/>
      <c r="Q34" s="8"/>
    </row>
    <row r="35" spans="1:17" x14ac:dyDescent="0.3">
      <c r="A35" s="1102"/>
      <c r="B35" s="98" t="s">
        <v>555</v>
      </c>
      <c r="C35" s="1099"/>
      <c r="D35" s="1108"/>
      <c r="E35" s="174">
        <v>1.7000000000000001E-2</v>
      </c>
      <c r="F35" s="1096"/>
      <c r="G35" s="173"/>
      <c r="H35" s="365"/>
      <c r="I35" s="173"/>
      <c r="K35" s="3"/>
      <c r="L35" s="649"/>
      <c r="M35" s="1008"/>
      <c r="N35" s="1046"/>
      <c r="Q35" s="8"/>
    </row>
    <row r="36" spans="1:17" x14ac:dyDescent="0.3">
      <c r="A36" s="1102"/>
      <c r="B36" s="86" t="s">
        <v>556</v>
      </c>
      <c r="C36" s="1099"/>
      <c r="D36" s="1108"/>
      <c r="E36" s="174">
        <v>2E-3</v>
      </c>
      <c r="F36" s="1096"/>
      <c r="G36" s="173"/>
      <c r="H36" s="365"/>
      <c r="I36" s="173"/>
      <c r="K36" s="3"/>
      <c r="L36" s="649"/>
      <c r="M36" s="1008"/>
      <c r="N36" s="1046"/>
      <c r="Q36" s="8"/>
    </row>
    <row r="37" spans="1:17" x14ac:dyDescent="0.3">
      <c r="A37" s="1102"/>
      <c r="B37" s="98" t="s">
        <v>557</v>
      </c>
      <c r="C37" s="1099"/>
      <c r="D37" s="1108"/>
      <c r="E37" s="174">
        <v>1.6E-2</v>
      </c>
      <c r="F37" s="1096"/>
      <c r="G37" s="173"/>
      <c r="H37" s="365"/>
      <c r="I37" s="173"/>
      <c r="K37" s="3"/>
      <c r="L37" s="649"/>
      <c r="M37" s="1008"/>
      <c r="N37" s="1046"/>
      <c r="Q37" s="8"/>
    </row>
    <row r="38" spans="1:17" ht="15" thickBot="1" x14ac:dyDescent="0.35">
      <c r="A38" s="1103"/>
      <c r="B38" s="265" t="s">
        <v>558</v>
      </c>
      <c r="C38" s="1100"/>
      <c r="D38" s="269" t="s">
        <v>248</v>
      </c>
      <c r="E38" s="270">
        <v>2E-3</v>
      </c>
      <c r="F38" s="700"/>
      <c r="G38" s="701"/>
      <c r="H38" s="700"/>
      <c r="I38" s="701"/>
      <c r="J38" s="11"/>
      <c r="K38" s="11"/>
      <c r="L38" s="650"/>
      <c r="M38" s="1009"/>
      <c r="N38" s="1047"/>
      <c r="O38" s="9"/>
      <c r="P38" s="9"/>
      <c r="Q38" s="10"/>
    </row>
    <row r="39" spans="1:17" x14ac:dyDescent="0.3">
      <c r="G39" s="662"/>
      <c r="I39" s="662"/>
      <c r="J39" s="17"/>
      <c r="K39"/>
    </row>
    <row r="40" spans="1:17" ht="15" thickBot="1" x14ac:dyDescent="0.35">
      <c r="A40"/>
      <c r="C40" s="3"/>
      <c r="E40" s="1"/>
      <c r="G40" s="662"/>
      <c r="I40" s="662"/>
      <c r="J40" s="17"/>
      <c r="K40"/>
    </row>
    <row r="41" spans="1:17" ht="15" thickBot="1" x14ac:dyDescent="0.35">
      <c r="A41" s="1101" t="s">
        <v>559</v>
      </c>
      <c r="B41" s="100" t="s">
        <v>560</v>
      </c>
      <c r="C41" s="43"/>
      <c r="D41" s="736" t="s">
        <v>532</v>
      </c>
      <c r="E41" s="738">
        <f>SUM(E42:E72)</f>
        <v>6.5189999999999975</v>
      </c>
      <c r="F41" s="735" t="s">
        <v>402</v>
      </c>
      <c r="G41" s="736" t="s">
        <v>530</v>
      </c>
      <c r="H41" s="735" t="s">
        <v>404</v>
      </c>
      <c r="I41" s="735" t="s">
        <v>406</v>
      </c>
      <c r="J41" s="737" t="s">
        <v>407</v>
      </c>
      <c r="K41" s="5"/>
      <c r="L41" s="648"/>
      <c r="M41" s="1007"/>
      <c r="N41" s="1007"/>
      <c r="O41" s="5"/>
      <c r="P41" s="5"/>
      <c r="Q41" s="6"/>
    </row>
    <row r="42" spans="1:17" x14ac:dyDescent="0.3">
      <c r="A42" s="1102"/>
      <c r="B42" s="126" t="s">
        <v>561</v>
      </c>
      <c r="C42" s="1099" t="s">
        <v>414</v>
      </c>
      <c r="D42" s="1106" t="s">
        <v>47</v>
      </c>
      <c r="E42" s="165">
        <v>1.7669999999999999</v>
      </c>
      <c r="F42" s="162">
        <f>SUM(H42-E42)</f>
        <v>5.0220000000000002</v>
      </c>
      <c r="G42" s="162" t="s">
        <v>562</v>
      </c>
      <c r="H42" s="195">
        <v>6.7889999999999997</v>
      </c>
      <c r="I42" s="162">
        <v>0.111</v>
      </c>
      <c r="J42" s="1092" t="s">
        <v>51</v>
      </c>
      <c r="K42" s="3"/>
      <c r="L42" s="649"/>
      <c r="M42" s="1008"/>
      <c r="N42" s="1008"/>
      <c r="Q42" s="8"/>
    </row>
    <row r="43" spans="1:17" x14ac:dyDescent="0.3">
      <c r="A43" s="1102"/>
      <c r="B43" s="126" t="s">
        <v>563</v>
      </c>
      <c r="C43" s="1099"/>
      <c r="D43" s="1093"/>
      <c r="E43" s="165">
        <v>1.7669999999999999</v>
      </c>
      <c r="F43" s="162">
        <f>SUM(H43-E43)</f>
        <v>5.0220000000000002</v>
      </c>
      <c r="G43" s="162" t="s">
        <v>562</v>
      </c>
      <c r="H43" s="195">
        <v>6.7889999999999997</v>
      </c>
      <c r="I43" s="162">
        <v>0.111</v>
      </c>
      <c r="J43" s="1092"/>
      <c r="K43" s="3"/>
      <c r="L43" s="649"/>
      <c r="M43" s="1008"/>
      <c r="N43" s="1008"/>
      <c r="Q43" s="8"/>
    </row>
    <row r="44" spans="1:17" x14ac:dyDescent="0.3">
      <c r="A44" s="1102"/>
      <c r="B44" s="126" t="s">
        <v>564</v>
      </c>
      <c r="C44" s="1099"/>
      <c r="D44" s="1093"/>
      <c r="E44" s="165">
        <v>4.4999999999999998E-2</v>
      </c>
      <c r="F44" s="732"/>
      <c r="G44" s="162"/>
      <c r="H44" s="195"/>
      <c r="I44" s="162"/>
      <c r="J44" s="1092"/>
      <c r="K44" s="3"/>
      <c r="L44" s="640" t="s">
        <v>542</v>
      </c>
      <c r="M44" s="1008"/>
      <c r="N44" s="1008"/>
      <c r="Q44" s="8"/>
    </row>
    <row r="45" spans="1:17" x14ac:dyDescent="0.3">
      <c r="A45" s="1102"/>
      <c r="B45" s="126" t="s">
        <v>565</v>
      </c>
      <c r="C45" s="1099"/>
      <c r="D45" s="1093"/>
      <c r="E45" s="165">
        <v>1E-3</v>
      </c>
      <c r="F45" s="732"/>
      <c r="G45" s="162"/>
      <c r="H45" s="195"/>
      <c r="I45" s="162"/>
      <c r="J45" s="1092"/>
      <c r="K45" s="3"/>
      <c r="L45" s="649"/>
      <c r="M45" s="1008"/>
      <c r="N45" s="1008"/>
      <c r="Q45" s="8"/>
    </row>
    <row r="46" spans="1:17" x14ac:dyDescent="0.3">
      <c r="A46" s="1102"/>
      <c r="B46" s="126" t="s">
        <v>566</v>
      </c>
      <c r="C46" s="1099"/>
      <c r="D46" s="1093"/>
      <c r="E46" s="165">
        <v>4.0000000000000001E-3</v>
      </c>
      <c r="F46" s="732"/>
      <c r="G46" s="162"/>
      <c r="H46" s="195"/>
      <c r="I46" s="162"/>
      <c r="J46" s="1092"/>
      <c r="K46" s="3"/>
      <c r="L46" s="649"/>
      <c r="M46" s="1008"/>
      <c r="N46" s="1008"/>
      <c r="Q46" s="8"/>
    </row>
    <row r="47" spans="1:17" x14ac:dyDescent="0.3">
      <c r="A47" s="1102"/>
      <c r="B47" s="101" t="s">
        <v>567</v>
      </c>
      <c r="C47" s="1099"/>
      <c r="D47" s="1095" t="s">
        <v>252</v>
      </c>
      <c r="E47" s="108">
        <v>0.61399999999999999</v>
      </c>
      <c r="F47" s="117">
        <f>SUM(H47-E47)</f>
        <v>2.335</v>
      </c>
      <c r="G47" s="117" t="s">
        <v>568</v>
      </c>
      <c r="H47" s="117">
        <v>2.9489999999999998</v>
      </c>
      <c r="I47" s="117">
        <v>8.8999999999999996E-2</v>
      </c>
      <c r="J47" s="1094" t="s">
        <v>51</v>
      </c>
      <c r="K47" s="3"/>
      <c r="L47" s="649"/>
      <c r="M47" s="1008"/>
      <c r="N47" s="1008"/>
      <c r="Q47" s="8"/>
    </row>
    <row r="48" spans="1:17" x14ac:dyDescent="0.3">
      <c r="A48" s="1102"/>
      <c r="B48" s="101" t="s">
        <v>569</v>
      </c>
      <c r="C48" s="1099"/>
      <c r="D48" s="1095"/>
      <c r="E48" s="108">
        <v>0.40500000000000003</v>
      </c>
      <c r="F48" s="117">
        <f>SUM(H48-E48)</f>
        <v>0.17999999999999994</v>
      </c>
      <c r="G48" s="117" t="s">
        <v>570</v>
      </c>
      <c r="H48" s="117">
        <v>0.58499999999999996</v>
      </c>
      <c r="I48" s="117">
        <v>0.106</v>
      </c>
      <c r="J48" s="1094"/>
      <c r="K48" s="3"/>
      <c r="L48" s="640" t="s">
        <v>542</v>
      </c>
      <c r="M48" s="1008"/>
      <c r="N48" s="1008"/>
      <c r="Q48" s="8"/>
    </row>
    <row r="49" spans="1:17" x14ac:dyDescent="0.3">
      <c r="A49" s="1102"/>
      <c r="B49" s="101" t="s">
        <v>571</v>
      </c>
      <c r="C49" s="1099"/>
      <c r="D49" s="1095"/>
      <c r="E49" s="108">
        <v>0.30299999999999999</v>
      </c>
      <c r="F49" s="117">
        <f>SUM(H49-E49)</f>
        <v>3.7489999999999997</v>
      </c>
      <c r="G49" s="117" t="s">
        <v>572</v>
      </c>
      <c r="H49" s="117">
        <v>4.0519999999999996</v>
      </c>
      <c r="I49" s="117">
        <v>6.6000000000000003E-2</v>
      </c>
      <c r="J49" s="1094"/>
      <c r="K49" s="3"/>
      <c r="L49" s="649"/>
      <c r="M49" s="1008"/>
      <c r="N49" s="1008"/>
      <c r="Q49" s="8"/>
    </row>
    <row r="50" spans="1:17" x14ac:dyDescent="0.3">
      <c r="A50" s="1102"/>
      <c r="B50" s="101" t="s">
        <v>573</v>
      </c>
      <c r="C50" s="1099"/>
      <c r="D50" s="1095"/>
      <c r="E50" s="108">
        <v>3.0000000000000001E-3</v>
      </c>
      <c r="F50" s="733"/>
      <c r="G50" s="117"/>
      <c r="H50" s="117"/>
      <c r="I50" s="117"/>
      <c r="J50" s="1094"/>
      <c r="K50" s="3"/>
      <c r="L50" s="649"/>
      <c r="M50" s="1008"/>
      <c r="N50" s="1008"/>
      <c r="Q50" s="8"/>
    </row>
    <row r="51" spans="1:17" x14ac:dyDescent="0.3">
      <c r="A51" s="1102"/>
      <c r="B51" s="103" t="s">
        <v>574</v>
      </c>
      <c r="C51" s="1099"/>
      <c r="D51" s="159" t="s">
        <v>91</v>
      </c>
      <c r="E51" s="305">
        <v>5.1999999999999998E-2</v>
      </c>
      <c r="F51" s="459"/>
      <c r="G51" s="159"/>
      <c r="H51" s="459"/>
      <c r="I51" s="159"/>
      <c r="J51" s="459"/>
      <c r="K51" s="3"/>
      <c r="L51" s="649"/>
      <c r="M51" s="1008"/>
      <c r="N51" s="1008"/>
      <c r="Q51" s="8"/>
    </row>
    <row r="52" spans="1:17" x14ac:dyDescent="0.3">
      <c r="A52" s="1102"/>
      <c r="B52" s="184" t="s">
        <v>575</v>
      </c>
      <c r="C52" s="1099"/>
      <c r="D52" s="1097" t="s">
        <v>270</v>
      </c>
      <c r="E52" s="251">
        <v>0.622</v>
      </c>
      <c r="F52" s="1097"/>
      <c r="G52" s="1097"/>
      <c r="H52" s="1097"/>
      <c r="I52" s="1097"/>
      <c r="K52" s="3"/>
      <c r="L52" s="649"/>
      <c r="M52" s="1008"/>
      <c r="N52" s="1008"/>
      <c r="Q52" s="8"/>
    </row>
    <row r="53" spans="1:17" x14ac:dyDescent="0.3">
      <c r="A53" s="1102"/>
      <c r="B53" s="184" t="s">
        <v>576</v>
      </c>
      <c r="C53" s="1099"/>
      <c r="D53" s="1097"/>
      <c r="E53" s="251">
        <v>0.115</v>
      </c>
      <c r="F53" s="1097"/>
      <c r="G53" s="1097"/>
      <c r="H53" s="1097"/>
      <c r="I53" s="1097"/>
      <c r="K53" s="3"/>
      <c r="L53" s="649"/>
      <c r="M53" s="1008"/>
      <c r="N53" s="1008"/>
      <c r="Q53" s="8"/>
    </row>
    <row r="54" spans="1:17" x14ac:dyDescent="0.3">
      <c r="A54" s="1102"/>
      <c r="B54" s="192" t="s">
        <v>577</v>
      </c>
      <c r="C54" s="1099"/>
      <c r="D54" s="169" t="s">
        <v>244</v>
      </c>
      <c r="E54" s="248">
        <v>8.9999999999999993E-3</v>
      </c>
      <c r="F54" s="157"/>
      <c r="G54" s="169"/>
      <c r="H54" s="157"/>
      <c r="I54" s="169"/>
      <c r="K54" s="3"/>
      <c r="L54" s="649"/>
      <c r="M54" s="1008"/>
      <c r="N54" s="1008"/>
      <c r="Q54" s="8"/>
    </row>
    <row r="55" spans="1:17" x14ac:dyDescent="0.3">
      <c r="A55" s="1102"/>
      <c r="B55" s="175" t="s">
        <v>550</v>
      </c>
      <c r="C55" s="1099"/>
      <c r="D55" s="1096" t="s">
        <v>253</v>
      </c>
      <c r="E55" s="252">
        <v>0.122</v>
      </c>
      <c r="F55" s="1096"/>
      <c r="G55" s="173"/>
      <c r="H55" s="365"/>
      <c r="I55" s="173"/>
      <c r="K55" s="3"/>
      <c r="L55" s="649"/>
      <c r="M55" s="1008"/>
      <c r="N55" s="1008"/>
      <c r="Q55" s="8"/>
    </row>
    <row r="56" spans="1:17" x14ac:dyDescent="0.3">
      <c r="A56" s="1102"/>
      <c r="B56" s="175" t="s">
        <v>578</v>
      </c>
      <c r="C56" s="1099"/>
      <c r="D56" s="1096"/>
      <c r="E56" s="252">
        <v>0.26</v>
      </c>
      <c r="F56" s="1096"/>
      <c r="G56" s="173"/>
      <c r="H56" s="365"/>
      <c r="I56" s="173"/>
      <c r="K56" s="3"/>
      <c r="L56" s="649"/>
      <c r="M56" s="1008"/>
      <c r="N56" s="1008"/>
      <c r="Q56" s="8"/>
    </row>
    <row r="57" spans="1:17" x14ac:dyDescent="0.3">
      <c r="A57" s="1102"/>
      <c r="B57" s="175" t="s">
        <v>579</v>
      </c>
      <c r="C57" s="1099"/>
      <c r="D57" s="1096"/>
      <c r="E57" s="393">
        <v>3.0000000000000001E-3</v>
      </c>
      <c r="F57" s="1096"/>
      <c r="G57" s="173"/>
      <c r="H57" s="365"/>
      <c r="I57" s="173"/>
      <c r="K57" s="3"/>
      <c r="L57" s="649"/>
      <c r="M57" s="1008"/>
      <c r="N57" s="1008"/>
      <c r="Q57" s="8"/>
    </row>
    <row r="58" spans="1:17" x14ac:dyDescent="0.3">
      <c r="A58" s="1102"/>
      <c r="B58" s="193" t="s">
        <v>580</v>
      </c>
      <c r="C58" s="1099"/>
      <c r="D58" s="1096"/>
      <c r="E58" s="393">
        <v>2E-3</v>
      </c>
      <c r="F58" s="1096"/>
      <c r="G58" s="173"/>
      <c r="H58" s="365"/>
      <c r="I58" s="173"/>
      <c r="K58" s="3"/>
      <c r="L58" s="649"/>
      <c r="M58" s="1008"/>
      <c r="N58" s="1008"/>
      <c r="Q58" s="8"/>
    </row>
    <row r="59" spans="1:17" x14ac:dyDescent="0.3">
      <c r="A59" s="1102"/>
      <c r="B59" s="175" t="s">
        <v>581</v>
      </c>
      <c r="C59" s="1099"/>
      <c r="D59" s="1096"/>
      <c r="E59" s="393">
        <v>5.1999999999999998E-2</v>
      </c>
      <c r="F59" s="1096"/>
      <c r="G59" s="173"/>
      <c r="H59" s="365"/>
      <c r="I59" s="173"/>
      <c r="K59" s="3"/>
      <c r="L59" s="649"/>
      <c r="M59" s="1008"/>
      <c r="N59" s="1008"/>
      <c r="Q59" s="8"/>
    </row>
    <row r="60" spans="1:17" x14ac:dyDescent="0.3">
      <c r="A60" s="1102"/>
      <c r="B60" s="193" t="s">
        <v>582</v>
      </c>
      <c r="C60" s="1099"/>
      <c r="D60" s="1096"/>
      <c r="E60" s="393">
        <v>1.4999999999999999E-2</v>
      </c>
      <c r="F60" s="1096"/>
      <c r="G60" s="173"/>
      <c r="H60" s="365"/>
      <c r="I60" s="173"/>
      <c r="K60" s="3"/>
      <c r="L60" s="649"/>
      <c r="M60" s="1008"/>
      <c r="N60" s="1008"/>
      <c r="Q60" s="8"/>
    </row>
    <row r="61" spans="1:17" x14ac:dyDescent="0.3">
      <c r="A61" s="1102"/>
      <c r="B61" s="193" t="s">
        <v>583</v>
      </c>
      <c r="C61" s="1099"/>
      <c r="D61" s="1096"/>
      <c r="E61" s="393">
        <v>0.26</v>
      </c>
      <c r="F61" s="1096"/>
      <c r="G61" s="173"/>
      <c r="H61" s="365"/>
      <c r="I61" s="173"/>
      <c r="K61" s="3"/>
      <c r="L61" s="649"/>
      <c r="M61" s="1008"/>
      <c r="N61" s="1008"/>
      <c r="Q61" s="8"/>
    </row>
    <row r="62" spans="1:17" x14ac:dyDescent="0.3">
      <c r="A62" s="1102"/>
      <c r="B62" s="193" t="s">
        <v>584</v>
      </c>
      <c r="C62" s="1099"/>
      <c r="D62" s="1096"/>
      <c r="E62" s="393">
        <v>1.2E-2</v>
      </c>
      <c r="F62" s="1096"/>
      <c r="G62" s="173"/>
      <c r="H62" s="365"/>
      <c r="I62" s="173"/>
      <c r="K62" s="3"/>
      <c r="L62" s="649"/>
      <c r="M62" s="1008"/>
      <c r="N62" s="1008"/>
      <c r="Q62" s="8"/>
    </row>
    <row r="63" spans="1:17" x14ac:dyDescent="0.3">
      <c r="A63" s="1102"/>
      <c r="B63" s="193" t="s">
        <v>585</v>
      </c>
      <c r="C63" s="1099"/>
      <c r="D63" s="1096"/>
      <c r="E63" s="393">
        <v>8.0000000000000002E-3</v>
      </c>
      <c r="F63" s="1096"/>
      <c r="G63" s="173"/>
      <c r="H63" s="365"/>
      <c r="I63" s="173"/>
      <c r="K63" s="3"/>
      <c r="L63" s="649"/>
      <c r="M63" s="1008"/>
      <c r="N63" s="1008"/>
      <c r="Q63" s="8"/>
    </row>
    <row r="64" spans="1:17" x14ac:dyDescent="0.3">
      <c r="A64" s="1102"/>
      <c r="B64" s="193" t="s">
        <v>586</v>
      </c>
      <c r="C64" s="1099"/>
      <c r="D64" s="1096"/>
      <c r="E64" s="393">
        <v>5.0000000000000001E-4</v>
      </c>
      <c r="F64" s="1096"/>
      <c r="G64" s="173"/>
      <c r="H64" s="365"/>
      <c r="I64" s="173"/>
      <c r="K64" s="3"/>
      <c r="L64" s="649"/>
      <c r="M64" s="1008"/>
      <c r="N64" s="1008"/>
      <c r="Q64" s="8"/>
    </row>
    <row r="65" spans="1:17" x14ac:dyDescent="0.3">
      <c r="A65" s="1102"/>
      <c r="B65" s="193" t="s">
        <v>587</v>
      </c>
      <c r="C65" s="1099"/>
      <c r="D65" s="1096"/>
      <c r="E65" s="393">
        <v>5.2999999999999999E-2</v>
      </c>
      <c r="F65" s="1096"/>
      <c r="G65" s="173"/>
      <c r="H65" s="365"/>
      <c r="I65" s="173"/>
      <c r="K65" s="3"/>
      <c r="L65" s="649"/>
      <c r="M65" s="1008"/>
      <c r="N65" s="1008"/>
      <c r="Q65" s="8"/>
    </row>
    <row r="66" spans="1:17" x14ac:dyDescent="0.3">
      <c r="A66" s="1102"/>
      <c r="B66" s="193" t="s">
        <v>588</v>
      </c>
      <c r="C66" s="1099"/>
      <c r="D66" s="1096"/>
      <c r="E66" s="393">
        <v>5.0000000000000001E-4</v>
      </c>
      <c r="F66" s="1096"/>
      <c r="G66" s="173"/>
      <c r="H66" s="365"/>
      <c r="I66" s="173"/>
      <c r="K66" s="3"/>
      <c r="L66" s="649"/>
      <c r="M66" s="1008"/>
      <c r="N66" s="1008"/>
      <c r="Q66" s="8"/>
    </row>
    <row r="67" spans="1:17" x14ac:dyDescent="0.3">
      <c r="A67" s="1102"/>
      <c r="B67" s="193" t="s">
        <v>589</v>
      </c>
      <c r="C67" s="1099"/>
      <c r="D67" s="1096"/>
      <c r="E67" s="393">
        <v>3.0000000000000001E-3</v>
      </c>
      <c r="F67" s="1096"/>
      <c r="G67" s="173"/>
      <c r="H67" s="365"/>
      <c r="I67" s="173"/>
      <c r="K67" s="3"/>
      <c r="L67" s="649"/>
      <c r="M67" s="1008"/>
      <c r="N67" s="1008"/>
      <c r="Q67" s="8"/>
    </row>
    <row r="68" spans="1:17" x14ac:dyDescent="0.3">
      <c r="A68" s="1102"/>
      <c r="B68" s="193" t="s">
        <v>590</v>
      </c>
      <c r="C68" s="1099"/>
      <c r="D68" s="1096"/>
      <c r="E68" s="393">
        <v>5.0000000000000001E-3</v>
      </c>
      <c r="F68" s="1096"/>
      <c r="G68" s="173"/>
      <c r="H68" s="365"/>
      <c r="I68" s="173"/>
      <c r="K68" s="3"/>
      <c r="L68" s="649"/>
      <c r="M68" s="1008"/>
      <c r="N68" s="1008"/>
      <c r="Q68" s="8"/>
    </row>
    <row r="69" spans="1:17" x14ac:dyDescent="0.3">
      <c r="A69" s="1102"/>
      <c r="B69" s="189" t="s">
        <v>558</v>
      </c>
      <c r="C69" s="1099"/>
      <c r="D69" s="167" t="s">
        <v>248</v>
      </c>
      <c r="E69" s="389">
        <v>2E-3</v>
      </c>
      <c r="F69" s="443"/>
      <c r="G69" s="167"/>
      <c r="H69" s="443"/>
      <c r="I69" s="167"/>
      <c r="K69" s="3"/>
      <c r="L69" s="649"/>
      <c r="M69" s="1008"/>
      <c r="N69" s="1008"/>
      <c r="Q69" s="8"/>
    </row>
    <row r="70" spans="1:17" x14ac:dyDescent="0.3">
      <c r="A70" s="1102"/>
      <c r="B70" s="104" t="s">
        <v>591</v>
      </c>
      <c r="C70" s="1099"/>
      <c r="D70" s="302" t="s">
        <v>247</v>
      </c>
      <c r="E70" s="444">
        <v>0.01</v>
      </c>
      <c r="F70" s="299"/>
      <c r="G70" s="357"/>
      <c r="H70" s="299"/>
      <c r="I70" s="357"/>
      <c r="K70" s="3"/>
      <c r="L70" s="649"/>
      <c r="M70" s="1008"/>
      <c r="N70" s="1008"/>
      <c r="Q70" s="8"/>
    </row>
    <row r="71" spans="1:17" x14ac:dyDescent="0.3">
      <c r="A71" s="1102"/>
      <c r="B71" s="164" t="s">
        <v>592</v>
      </c>
      <c r="C71" s="1099"/>
      <c r="D71" s="1104" t="s">
        <v>240</v>
      </c>
      <c r="E71" s="445">
        <v>3.0000000000000001E-3</v>
      </c>
      <c r="F71" s="59"/>
      <c r="G71" s="65"/>
      <c r="H71" s="59"/>
      <c r="I71" s="65"/>
      <c r="K71" s="3"/>
      <c r="L71" s="649"/>
      <c r="M71" s="1008"/>
      <c r="N71" s="1008"/>
      <c r="Q71" s="8"/>
    </row>
    <row r="72" spans="1:17" ht="15" thickBot="1" x14ac:dyDescent="0.35">
      <c r="A72" s="1103"/>
      <c r="B72" s="273" t="s">
        <v>593</v>
      </c>
      <c r="C72" s="1100"/>
      <c r="D72" s="1105"/>
      <c r="E72" s="446">
        <v>1E-3</v>
      </c>
      <c r="F72" s="699"/>
      <c r="G72" s="654"/>
      <c r="H72" s="699"/>
      <c r="I72" s="654"/>
      <c r="J72" s="11"/>
      <c r="K72" s="11"/>
      <c r="L72" s="650"/>
      <c r="M72" s="1009"/>
      <c r="N72" s="1009"/>
      <c r="O72" s="9"/>
      <c r="P72" s="9"/>
      <c r="Q72" s="10"/>
    </row>
    <row r="73" spans="1:17" x14ac:dyDescent="0.3">
      <c r="G73" s="662"/>
      <c r="I73" s="662"/>
      <c r="J73" s="17"/>
      <c r="K73"/>
    </row>
    <row r="74" spans="1:17" ht="15" thickBot="1" x14ac:dyDescent="0.35">
      <c r="A74"/>
      <c r="C74" s="3"/>
      <c r="E74" s="1"/>
      <c r="G74" s="662"/>
      <c r="I74" s="662"/>
      <c r="J74" s="17"/>
      <c r="K74"/>
    </row>
    <row r="75" spans="1:17" ht="15" thickBot="1" x14ac:dyDescent="0.35">
      <c r="A75" s="1124" t="s">
        <v>594</v>
      </c>
      <c r="B75" s="100" t="s">
        <v>595</v>
      </c>
      <c r="C75" s="43"/>
      <c r="D75" s="736" t="s">
        <v>532</v>
      </c>
      <c r="E75" s="738">
        <f>SUM(E76:E105)</f>
        <v>5.4289999999999994</v>
      </c>
      <c r="F75" s="735" t="s">
        <v>402</v>
      </c>
      <c r="G75" s="736" t="s">
        <v>530</v>
      </c>
      <c r="H75" s="735" t="s">
        <v>404</v>
      </c>
      <c r="I75" s="735" t="s">
        <v>406</v>
      </c>
      <c r="J75" s="737" t="s">
        <v>407</v>
      </c>
      <c r="K75" s="5"/>
      <c r="L75" s="1031"/>
      <c r="M75" s="1007"/>
      <c r="N75" s="1007"/>
      <c r="O75" s="5"/>
      <c r="P75" s="5"/>
      <c r="Q75" s="6"/>
    </row>
    <row r="76" spans="1:17" x14ac:dyDescent="0.3">
      <c r="A76" s="1125"/>
      <c r="B76" s="126" t="s">
        <v>596</v>
      </c>
      <c r="C76" s="1129" t="s">
        <v>414</v>
      </c>
      <c r="D76" s="162" t="s">
        <v>47</v>
      </c>
      <c r="E76" s="162">
        <v>0.16600000000000001</v>
      </c>
      <c r="F76" s="162">
        <f t="shared" ref="F76:F81" si="1">SUM(H76-E76)</f>
        <v>0.34299999999999997</v>
      </c>
      <c r="G76" s="162" t="s">
        <v>597</v>
      </c>
      <c r="H76" s="195">
        <v>0.50900000000000001</v>
      </c>
      <c r="I76" s="162">
        <v>0.01</v>
      </c>
      <c r="J76" s="195" t="s">
        <v>51</v>
      </c>
      <c r="K76" s="3"/>
      <c r="L76" s="1032"/>
      <c r="M76" s="1008"/>
      <c r="N76" s="1008"/>
      <c r="Q76" s="8"/>
    </row>
    <row r="77" spans="1:17" x14ac:dyDescent="0.3">
      <c r="A77" s="1125"/>
      <c r="B77" s="126" t="s">
        <v>596</v>
      </c>
      <c r="C77" s="1129"/>
      <c r="D77" s="162" t="s">
        <v>47</v>
      </c>
      <c r="E77" s="162">
        <v>0.16600000000000001</v>
      </c>
      <c r="F77" s="162">
        <f t="shared" si="1"/>
        <v>0.34299999999999997</v>
      </c>
      <c r="G77" s="162" t="s">
        <v>597</v>
      </c>
      <c r="H77" s="195">
        <v>0.50900000000000001</v>
      </c>
      <c r="I77" s="162">
        <v>0.01</v>
      </c>
      <c r="J77" s="195" t="s">
        <v>51</v>
      </c>
      <c r="K77" s="3"/>
      <c r="L77" s="1032"/>
      <c r="M77" s="1008"/>
      <c r="N77" s="1008"/>
      <c r="Q77" s="8"/>
    </row>
    <row r="78" spans="1:17" x14ac:dyDescent="0.3">
      <c r="A78" s="1125"/>
      <c r="B78" s="84" t="s">
        <v>598</v>
      </c>
      <c r="C78" s="1129"/>
      <c r="D78" s="1095" t="s">
        <v>252</v>
      </c>
      <c r="E78" s="105">
        <v>1.1259999999999999</v>
      </c>
      <c r="F78" s="117">
        <f t="shared" si="1"/>
        <v>2.2310000000000003</v>
      </c>
      <c r="G78" s="117" t="s">
        <v>599</v>
      </c>
      <c r="H78" s="457">
        <v>3.3570000000000002</v>
      </c>
      <c r="I78" s="117">
        <v>5.5E-2</v>
      </c>
      <c r="J78" s="1094" t="s">
        <v>51</v>
      </c>
      <c r="K78" s="3"/>
      <c r="L78" s="1032"/>
      <c r="M78" s="1008"/>
      <c r="N78" s="1008"/>
      <c r="Q78" s="8"/>
    </row>
    <row r="79" spans="1:17" x14ac:dyDescent="0.3">
      <c r="A79" s="1125"/>
      <c r="B79" s="84" t="s">
        <v>600</v>
      </c>
      <c r="C79" s="1129"/>
      <c r="D79" s="1095"/>
      <c r="E79" s="105">
        <v>1.1259999999999999</v>
      </c>
      <c r="F79" s="117">
        <f t="shared" si="1"/>
        <v>2.2310000000000003</v>
      </c>
      <c r="G79" s="117" t="s">
        <v>599</v>
      </c>
      <c r="H79" s="457">
        <v>3.3570000000000002</v>
      </c>
      <c r="I79" s="117">
        <v>5.5E-2</v>
      </c>
      <c r="J79" s="1094"/>
      <c r="K79" s="3"/>
      <c r="L79" s="1032"/>
      <c r="M79" s="1008"/>
      <c r="N79" s="1008"/>
      <c r="Q79" s="8"/>
    </row>
    <row r="80" spans="1:17" x14ac:dyDescent="0.3">
      <c r="A80" s="1125"/>
      <c r="B80" s="84" t="s">
        <v>601</v>
      </c>
      <c r="C80" s="1129"/>
      <c r="D80" s="1095"/>
      <c r="E80" s="105">
        <v>0.98199999999999998</v>
      </c>
      <c r="F80" s="117">
        <f t="shared" si="1"/>
        <v>6.0149999999999997</v>
      </c>
      <c r="G80" s="117" t="s">
        <v>602</v>
      </c>
      <c r="H80" s="457">
        <v>6.9969999999999999</v>
      </c>
      <c r="I80" s="117">
        <v>0.115</v>
      </c>
      <c r="J80" s="1094"/>
      <c r="K80" s="3"/>
      <c r="L80" s="1032"/>
      <c r="M80" s="1008"/>
      <c r="N80" s="1008"/>
      <c r="Q80" s="8"/>
    </row>
    <row r="81" spans="1:17" ht="15" customHeight="1" x14ac:dyDescent="0.3">
      <c r="A81" s="1125"/>
      <c r="B81" s="84" t="s">
        <v>603</v>
      </c>
      <c r="C81" s="1129"/>
      <c r="D81" s="1095"/>
      <c r="E81" s="105">
        <v>0.56100000000000005</v>
      </c>
      <c r="F81" s="117">
        <f t="shared" si="1"/>
        <v>1.5169999999999999</v>
      </c>
      <c r="G81" s="117" t="s">
        <v>604</v>
      </c>
      <c r="H81" s="457">
        <v>2.0779999999999998</v>
      </c>
      <c r="I81" s="117">
        <v>3.4000000000000002E-2</v>
      </c>
      <c r="J81" s="1094"/>
      <c r="K81" s="3"/>
      <c r="L81" s="1032"/>
      <c r="M81" s="1008"/>
      <c r="N81" s="1008"/>
      <c r="Q81" s="8"/>
    </row>
    <row r="82" spans="1:17" x14ac:dyDescent="0.3">
      <c r="A82" s="1125"/>
      <c r="B82" s="103" t="s">
        <v>605</v>
      </c>
      <c r="C82" s="1129"/>
      <c r="D82" s="159" t="s">
        <v>91</v>
      </c>
      <c r="E82" s="159">
        <v>0.34399999999999997</v>
      </c>
      <c r="F82" s="459"/>
      <c r="G82" s="159"/>
      <c r="H82" s="459"/>
      <c r="I82" s="159"/>
      <c r="J82" s="459"/>
      <c r="K82" s="3"/>
      <c r="L82" s="1032"/>
      <c r="M82" s="1008"/>
      <c r="N82" s="1008"/>
      <c r="Q82" s="8"/>
    </row>
    <row r="83" spans="1:17" x14ac:dyDescent="0.3">
      <c r="A83" s="1125"/>
      <c r="B83" s="184" t="s">
        <v>606</v>
      </c>
      <c r="C83" s="1129"/>
      <c r="D83" s="1097" t="s">
        <v>270</v>
      </c>
      <c r="E83" s="181">
        <v>0.58299999999999996</v>
      </c>
      <c r="F83" s="299"/>
      <c r="G83" s="357"/>
      <c r="H83" s="299"/>
      <c r="I83" s="357"/>
      <c r="K83" s="3"/>
      <c r="L83" s="1032"/>
      <c r="M83" s="1008"/>
      <c r="N83" s="1008"/>
      <c r="Q83" s="8"/>
    </row>
    <row r="84" spans="1:17" x14ac:dyDescent="0.3">
      <c r="A84" s="1125"/>
      <c r="B84" s="184" t="s">
        <v>607</v>
      </c>
      <c r="C84" s="1129"/>
      <c r="D84" s="1097"/>
      <c r="E84" s="181">
        <v>2E-3</v>
      </c>
      <c r="F84" s="299"/>
      <c r="G84" s="357"/>
      <c r="H84" s="299"/>
      <c r="I84" s="357"/>
      <c r="K84" s="3"/>
      <c r="L84" s="1032"/>
      <c r="M84" s="1008"/>
      <c r="N84" s="1008"/>
      <c r="Q84" s="8"/>
    </row>
    <row r="85" spans="1:17" x14ac:dyDescent="0.3">
      <c r="A85" s="1125"/>
      <c r="B85" s="192" t="s">
        <v>608</v>
      </c>
      <c r="C85" s="1129"/>
      <c r="D85" s="1098" t="s">
        <v>244</v>
      </c>
      <c r="E85" s="169">
        <v>4.0000000000000001E-3</v>
      </c>
      <c r="F85" s="299"/>
      <c r="G85" s="357"/>
      <c r="H85" s="299"/>
      <c r="I85" s="357"/>
      <c r="K85" s="3"/>
      <c r="L85" s="1032"/>
      <c r="M85" s="1008"/>
      <c r="N85" s="1008"/>
      <c r="Q85" s="8"/>
    </row>
    <row r="86" spans="1:17" x14ac:dyDescent="0.3">
      <c r="A86" s="1125"/>
      <c r="B86" s="192" t="s">
        <v>609</v>
      </c>
      <c r="C86" s="1129"/>
      <c r="D86" s="1098"/>
      <c r="E86" s="169">
        <v>1.2999999999999999E-2</v>
      </c>
      <c r="F86" s="299"/>
      <c r="G86" s="357"/>
      <c r="H86" s="299"/>
      <c r="I86" s="357"/>
      <c r="K86" s="3"/>
      <c r="L86" s="1032"/>
      <c r="M86" s="1008"/>
      <c r="N86" s="1008"/>
      <c r="Q86" s="8"/>
    </row>
    <row r="87" spans="1:17" x14ac:dyDescent="0.3">
      <c r="A87" s="1125"/>
      <c r="B87" s="192" t="s">
        <v>610</v>
      </c>
      <c r="C87" s="1129"/>
      <c r="D87" s="1098"/>
      <c r="E87" s="169">
        <v>3.0000000000000001E-3</v>
      </c>
      <c r="F87" s="299"/>
      <c r="G87" s="357"/>
      <c r="H87" s="299"/>
      <c r="I87" s="357"/>
      <c r="K87" s="3"/>
      <c r="L87" s="1032"/>
      <c r="M87" s="1008"/>
      <c r="N87" s="1008"/>
      <c r="Q87" s="8"/>
    </row>
    <row r="88" spans="1:17" x14ac:dyDescent="0.3">
      <c r="A88" s="1125"/>
      <c r="B88" s="192" t="s">
        <v>611</v>
      </c>
      <c r="C88" s="1129"/>
      <c r="D88" s="1098"/>
      <c r="E88" s="169">
        <v>1E-3</v>
      </c>
      <c r="F88" s="299"/>
      <c r="G88" s="357"/>
      <c r="H88" s="299"/>
      <c r="I88" s="357"/>
      <c r="K88" s="3"/>
      <c r="L88" s="1032"/>
      <c r="M88" s="1008"/>
      <c r="N88" s="1008"/>
      <c r="Q88" s="8"/>
    </row>
    <row r="89" spans="1:17" x14ac:dyDescent="0.3">
      <c r="A89" s="1125"/>
      <c r="B89" s="193" t="s">
        <v>612</v>
      </c>
      <c r="C89" s="1129"/>
      <c r="D89" s="1096" t="s">
        <v>253</v>
      </c>
      <c r="E89" s="173">
        <v>4.4999999999999998E-2</v>
      </c>
      <c r="F89" s="299"/>
      <c r="G89" s="357"/>
      <c r="H89" s="299"/>
      <c r="I89" s="357"/>
      <c r="K89" s="3"/>
      <c r="L89" s="1032"/>
      <c r="M89" s="1008"/>
      <c r="N89" s="1008"/>
      <c r="Q89" s="8"/>
    </row>
    <row r="90" spans="1:17" x14ac:dyDescent="0.3">
      <c r="A90" s="1125"/>
      <c r="B90" s="193" t="s">
        <v>613</v>
      </c>
      <c r="C90" s="1129"/>
      <c r="D90" s="1096"/>
      <c r="E90" s="173">
        <v>3.2000000000000001E-2</v>
      </c>
      <c r="F90" s="299"/>
      <c r="G90" s="357"/>
      <c r="H90" s="299"/>
      <c r="I90" s="357"/>
      <c r="K90" s="3"/>
      <c r="L90" s="1032"/>
      <c r="M90" s="1008"/>
      <c r="N90" s="1008"/>
      <c r="Q90" s="8"/>
    </row>
    <row r="91" spans="1:17" x14ac:dyDescent="0.3">
      <c r="A91" s="1125"/>
      <c r="B91" s="193" t="s">
        <v>614</v>
      </c>
      <c r="C91" s="1129"/>
      <c r="D91" s="1096"/>
      <c r="E91" s="173">
        <v>0.01</v>
      </c>
      <c r="F91" s="299"/>
      <c r="G91" s="357"/>
      <c r="H91" s="299"/>
      <c r="I91" s="357"/>
      <c r="K91" s="3"/>
      <c r="L91" s="1032"/>
      <c r="M91" s="1008"/>
      <c r="N91" s="1008"/>
      <c r="Q91" s="8"/>
    </row>
    <row r="92" spans="1:17" x14ac:dyDescent="0.3">
      <c r="A92" s="1125"/>
      <c r="B92" s="193" t="s">
        <v>555</v>
      </c>
      <c r="C92" s="1129"/>
      <c r="D92" s="1096"/>
      <c r="E92" s="173">
        <v>1.7000000000000001E-2</v>
      </c>
      <c r="F92" s="299"/>
      <c r="G92" s="357"/>
      <c r="H92" s="299"/>
      <c r="I92" s="357"/>
      <c r="K92" s="3"/>
      <c r="L92" s="1032"/>
      <c r="M92" s="1008"/>
      <c r="N92" s="1008"/>
      <c r="Q92" s="8"/>
    </row>
    <row r="93" spans="1:17" x14ac:dyDescent="0.3">
      <c r="A93" s="1125"/>
      <c r="B93" s="193" t="s">
        <v>615</v>
      </c>
      <c r="C93" s="1129"/>
      <c r="D93" s="1096"/>
      <c r="E93" s="173">
        <v>2.3E-2</v>
      </c>
      <c r="F93" s="299"/>
      <c r="G93" s="357"/>
      <c r="H93" s="299"/>
      <c r="I93" s="357"/>
      <c r="K93" s="3"/>
      <c r="L93" s="1032"/>
      <c r="M93" s="1008"/>
      <c r="N93" s="1008"/>
      <c r="Q93" s="8"/>
    </row>
    <row r="94" spans="1:17" x14ac:dyDescent="0.3">
      <c r="A94" s="1125"/>
      <c r="B94" s="193" t="s">
        <v>616</v>
      </c>
      <c r="C94" s="1129"/>
      <c r="D94" s="1096"/>
      <c r="E94" s="173">
        <v>2E-3</v>
      </c>
      <c r="F94" s="299"/>
      <c r="G94" s="357"/>
      <c r="H94" s="299"/>
      <c r="I94" s="357"/>
      <c r="K94" s="3"/>
      <c r="L94" s="1032"/>
      <c r="M94" s="1008"/>
      <c r="N94" s="1008"/>
      <c r="Q94" s="8"/>
    </row>
    <row r="95" spans="1:17" x14ac:dyDescent="0.3">
      <c r="A95" s="1125"/>
      <c r="B95" s="193" t="s">
        <v>617</v>
      </c>
      <c r="C95" s="1129"/>
      <c r="D95" s="1096"/>
      <c r="E95" s="173">
        <v>8.4000000000000005E-2</v>
      </c>
      <c r="F95" s="299"/>
      <c r="G95" s="357"/>
      <c r="H95" s="299"/>
      <c r="I95" s="357"/>
      <c r="K95" s="3"/>
      <c r="L95" s="1032"/>
      <c r="M95" s="1008"/>
      <c r="N95" s="1008"/>
      <c r="Q95" s="8"/>
    </row>
    <row r="96" spans="1:17" x14ac:dyDescent="0.3">
      <c r="A96" s="1125"/>
      <c r="B96" s="193" t="s">
        <v>618</v>
      </c>
      <c r="C96" s="1129"/>
      <c r="D96" s="1096"/>
      <c r="E96" s="173">
        <v>1.0999999999999999E-2</v>
      </c>
      <c r="F96" s="299"/>
      <c r="G96" s="357"/>
      <c r="H96" s="299"/>
      <c r="I96" s="357"/>
      <c r="K96" s="3"/>
      <c r="L96" s="1032"/>
      <c r="M96" s="1008"/>
      <c r="N96" s="1008"/>
      <c r="Q96" s="8"/>
    </row>
    <row r="97" spans="1:17" x14ac:dyDescent="0.3">
      <c r="A97" s="1125"/>
      <c r="B97" s="193" t="s">
        <v>619</v>
      </c>
      <c r="C97" s="1129"/>
      <c r="D97" s="1096"/>
      <c r="E97" s="173">
        <v>2E-3</v>
      </c>
      <c r="F97" s="299"/>
      <c r="G97" s="357"/>
      <c r="H97" s="299"/>
      <c r="I97" s="357"/>
      <c r="K97" s="3"/>
      <c r="L97" s="1032"/>
      <c r="M97" s="1008"/>
      <c r="N97" s="1008"/>
      <c r="Q97" s="8"/>
    </row>
    <row r="98" spans="1:17" x14ac:dyDescent="0.3">
      <c r="A98" s="1125"/>
      <c r="B98" s="193" t="s">
        <v>620</v>
      </c>
      <c r="C98" s="1129"/>
      <c r="D98" s="1096"/>
      <c r="E98" s="173">
        <v>3.5000000000000003E-2</v>
      </c>
      <c r="F98" s="299"/>
      <c r="G98" s="357"/>
      <c r="H98" s="299"/>
      <c r="I98" s="357"/>
      <c r="K98" s="3"/>
      <c r="L98" s="1032"/>
      <c r="M98" s="1008"/>
      <c r="N98" s="1008"/>
      <c r="Q98" s="8"/>
    </row>
    <row r="99" spans="1:17" x14ac:dyDescent="0.3">
      <c r="A99" s="1125"/>
      <c r="B99" s="193" t="s">
        <v>621</v>
      </c>
      <c r="C99" s="1129"/>
      <c r="D99" s="1096"/>
      <c r="E99" s="173">
        <v>3.1E-2</v>
      </c>
      <c r="F99" s="299"/>
      <c r="G99" s="357"/>
      <c r="H99" s="299"/>
      <c r="I99" s="357"/>
      <c r="K99" s="3"/>
      <c r="L99" s="1032"/>
      <c r="M99" s="1008"/>
      <c r="N99" s="1008"/>
      <c r="Q99" s="8"/>
    </row>
    <row r="100" spans="1:17" x14ac:dyDescent="0.3">
      <c r="A100" s="1125"/>
      <c r="B100" s="193" t="s">
        <v>622</v>
      </c>
      <c r="C100" s="1129"/>
      <c r="D100" s="1096"/>
      <c r="E100" s="173">
        <v>1E-3</v>
      </c>
      <c r="F100" s="299"/>
      <c r="G100" s="357"/>
      <c r="H100" s="299"/>
      <c r="I100" s="357"/>
      <c r="K100" s="3"/>
      <c r="L100" s="1032"/>
      <c r="M100" s="1008"/>
      <c r="N100" s="1008"/>
      <c r="Q100" s="8"/>
    </row>
    <row r="101" spans="1:17" x14ac:dyDescent="0.3">
      <c r="A101" s="1125"/>
      <c r="B101" s="193" t="s">
        <v>623</v>
      </c>
      <c r="C101" s="1129"/>
      <c r="D101" s="1096"/>
      <c r="E101" s="173">
        <v>7.0000000000000001E-3</v>
      </c>
      <c r="F101" s="299"/>
      <c r="G101" s="357"/>
      <c r="H101" s="299"/>
      <c r="I101" s="357"/>
      <c r="K101" s="3"/>
      <c r="L101" s="1032"/>
      <c r="M101" s="1008"/>
      <c r="N101" s="1008"/>
      <c r="Q101" s="8"/>
    </row>
    <row r="102" spans="1:17" x14ac:dyDescent="0.3">
      <c r="A102" s="1125"/>
      <c r="B102" s="193" t="s">
        <v>624</v>
      </c>
      <c r="C102" s="1129"/>
      <c r="D102" s="1096"/>
      <c r="E102" s="173">
        <v>1E-3</v>
      </c>
      <c r="F102" s="299"/>
      <c r="G102" s="357"/>
      <c r="H102" s="299"/>
      <c r="I102" s="357"/>
      <c r="K102" s="3"/>
      <c r="L102" s="1032"/>
      <c r="M102" s="1008"/>
      <c r="N102" s="1008"/>
      <c r="Q102" s="8"/>
    </row>
    <row r="103" spans="1:17" x14ac:dyDescent="0.3">
      <c r="A103" s="1125"/>
      <c r="B103" s="104" t="s">
        <v>625</v>
      </c>
      <c r="C103" s="1129"/>
      <c r="D103" s="1122" t="s">
        <v>247</v>
      </c>
      <c r="E103" s="1122">
        <v>5.0999999999999997E-2</v>
      </c>
      <c r="F103" s="299"/>
      <c r="G103" s="357"/>
      <c r="H103" s="299"/>
      <c r="I103" s="357"/>
      <c r="K103" s="3"/>
      <c r="L103" s="1032"/>
      <c r="M103" s="1008"/>
      <c r="N103" s="1008"/>
      <c r="Q103" s="8"/>
    </row>
    <row r="104" spans="1:17" x14ac:dyDescent="0.3">
      <c r="A104" s="1125"/>
      <c r="B104" s="104" t="s">
        <v>626</v>
      </c>
      <c r="C104" s="1129"/>
      <c r="D104" s="1122"/>
      <c r="E104" s="1122"/>
      <c r="F104" s="299"/>
      <c r="G104" s="357"/>
      <c r="H104" s="299"/>
      <c r="I104" s="357"/>
      <c r="K104" s="3"/>
      <c r="L104" s="1032"/>
      <c r="M104" s="1008"/>
      <c r="N104" s="1008"/>
      <c r="Q104" s="8"/>
    </row>
    <row r="105" spans="1:17" ht="15" thickBot="1" x14ac:dyDescent="0.35">
      <c r="A105" s="1126"/>
      <c r="B105" s="268" t="s">
        <v>627</v>
      </c>
      <c r="C105" s="1130"/>
      <c r="D105" s="1123"/>
      <c r="E105" s="1123"/>
      <c r="F105" s="653"/>
      <c r="G105" s="451"/>
      <c r="H105" s="653"/>
      <c r="I105" s="451"/>
      <c r="J105" s="11"/>
      <c r="K105" s="11"/>
      <c r="L105" s="1033"/>
      <c r="M105" s="1009"/>
      <c r="N105" s="1009"/>
      <c r="O105" s="9"/>
      <c r="P105" s="9"/>
      <c r="Q105" s="10"/>
    </row>
    <row r="106" spans="1:17" x14ac:dyDescent="0.3">
      <c r="A106"/>
      <c r="C106" s="3"/>
      <c r="E106" s="1"/>
      <c r="G106" s="662"/>
      <c r="I106" s="662"/>
      <c r="J106" s="17"/>
      <c r="K106"/>
    </row>
    <row r="107" spans="1:17" ht="15" thickBot="1" x14ac:dyDescent="0.35">
      <c r="A107"/>
      <c r="C107" s="3"/>
      <c r="E107" s="1"/>
      <c r="G107" s="662"/>
      <c r="I107" s="662"/>
      <c r="J107" s="17"/>
      <c r="K107"/>
    </row>
    <row r="108" spans="1:17" ht="15" customHeight="1" thickBot="1" x14ac:dyDescent="0.35">
      <c r="A108" s="1124" t="s">
        <v>628</v>
      </c>
      <c r="B108" s="100" t="s">
        <v>629</v>
      </c>
      <c r="C108" s="40"/>
      <c r="D108" s="67" t="s">
        <v>532</v>
      </c>
      <c r="E108" s="66">
        <f>SUM(E109:E111)</f>
        <v>0.311</v>
      </c>
      <c r="F108" s="704"/>
      <c r="G108" s="67"/>
      <c r="H108" s="705"/>
      <c r="I108" s="67"/>
      <c r="J108" s="706"/>
      <c r="K108" s="5"/>
      <c r="L108" s="1007"/>
      <c r="M108" s="1087"/>
      <c r="N108" s="1007"/>
      <c r="O108" s="5"/>
      <c r="P108" s="5"/>
      <c r="Q108" s="6"/>
    </row>
    <row r="109" spans="1:17" x14ac:dyDescent="0.3">
      <c r="A109" s="1125"/>
      <c r="B109" s="102" t="s">
        <v>630</v>
      </c>
      <c r="C109" s="985" t="s">
        <v>414</v>
      </c>
      <c r="D109" s="162" t="s">
        <v>47</v>
      </c>
      <c r="E109" s="162">
        <v>0.29699999999999999</v>
      </c>
      <c r="F109" s="195"/>
      <c r="G109" s="162"/>
      <c r="H109" s="195"/>
      <c r="I109" s="162"/>
      <c r="J109" s="195" t="s">
        <v>51</v>
      </c>
      <c r="K109" s="3"/>
      <c r="L109" s="1008"/>
      <c r="M109" s="1128"/>
      <c r="N109" s="1008"/>
      <c r="Q109" s="8"/>
    </row>
    <row r="110" spans="1:17" x14ac:dyDescent="0.3">
      <c r="A110" s="1125"/>
      <c r="B110" s="193" t="s">
        <v>631</v>
      </c>
      <c r="C110" s="985"/>
      <c r="D110" s="173" t="s">
        <v>253</v>
      </c>
      <c r="E110" s="173">
        <v>7.0000000000000001E-3</v>
      </c>
      <c r="F110" s="299"/>
      <c r="G110" s="357"/>
      <c r="H110" s="299"/>
      <c r="I110" s="357"/>
      <c r="K110" s="3"/>
      <c r="L110" s="1008"/>
      <c r="M110" s="1128"/>
      <c r="N110" s="1008"/>
      <c r="Q110" s="8"/>
    </row>
    <row r="111" spans="1:17" ht="15" thickBot="1" x14ac:dyDescent="0.35">
      <c r="A111" s="1126"/>
      <c r="B111" s="274" t="s">
        <v>632</v>
      </c>
      <c r="C111" s="1044"/>
      <c r="D111" s="275" t="s">
        <v>270</v>
      </c>
      <c r="E111" s="276">
        <v>7.0000000000000001E-3</v>
      </c>
      <c r="F111" s="653"/>
      <c r="G111" s="451"/>
      <c r="H111" s="653"/>
      <c r="I111" s="451"/>
      <c r="J111" s="11"/>
      <c r="K111" s="11"/>
      <c r="L111" s="1009"/>
      <c r="M111" s="1088"/>
      <c r="N111" s="1009"/>
      <c r="O111" s="9"/>
      <c r="P111" s="9"/>
      <c r="Q111" s="10"/>
    </row>
    <row r="112" spans="1:17" x14ac:dyDescent="0.3">
      <c r="A112"/>
      <c r="C112" s="3"/>
      <c r="E112" s="1"/>
      <c r="G112" s="662"/>
      <c r="I112" s="662"/>
      <c r="J112" s="17"/>
      <c r="K112"/>
    </row>
    <row r="113" spans="1:17" ht="15" thickBot="1" x14ac:dyDescent="0.35">
      <c r="A113"/>
      <c r="C113" s="3"/>
      <c r="E113" s="1"/>
      <c r="G113" s="662"/>
      <c r="I113" s="662"/>
      <c r="J113" s="17"/>
      <c r="K113"/>
    </row>
    <row r="114" spans="1:17" ht="15" customHeight="1" thickBot="1" x14ac:dyDescent="0.35">
      <c r="A114" s="1124" t="s">
        <v>633</v>
      </c>
      <c r="B114" s="100" t="s">
        <v>634</v>
      </c>
      <c r="C114" s="40"/>
      <c r="D114" s="90" t="s">
        <v>532</v>
      </c>
      <c r="E114" s="68">
        <f>SUM(E115:E128)</f>
        <v>1.0630000000000002</v>
      </c>
      <c r="F114" s="44"/>
      <c r="G114" s="90"/>
      <c r="H114" s="44"/>
      <c r="I114" s="90"/>
      <c r="J114" s="42"/>
      <c r="K114" s="5"/>
      <c r="L114" s="1007"/>
      <c r="M114" s="1065"/>
      <c r="N114" s="1007"/>
      <c r="O114" s="5"/>
      <c r="P114" s="5"/>
      <c r="Q114" s="6"/>
    </row>
    <row r="115" spans="1:17" x14ac:dyDescent="0.3">
      <c r="A115" s="1125"/>
      <c r="B115" s="102" t="s">
        <v>635</v>
      </c>
      <c r="C115" s="985" t="s">
        <v>414</v>
      </c>
      <c r="D115" s="1093" t="s">
        <v>47</v>
      </c>
      <c r="E115" s="165">
        <v>0.36799999999999999</v>
      </c>
      <c r="F115" s="1093"/>
      <c r="G115" s="1093"/>
      <c r="H115" s="1093"/>
      <c r="I115" s="1093"/>
      <c r="J115" s="1092" t="s">
        <v>51</v>
      </c>
      <c r="K115" s="3"/>
      <c r="L115" s="1008"/>
      <c r="M115" s="1066"/>
      <c r="N115" s="1008"/>
      <c r="Q115" s="8"/>
    </row>
    <row r="116" spans="1:17" x14ac:dyDescent="0.3">
      <c r="A116" s="1125"/>
      <c r="B116" s="102" t="s">
        <v>636</v>
      </c>
      <c r="C116" s="985"/>
      <c r="D116" s="1093"/>
      <c r="E116" s="165">
        <v>1E-3</v>
      </c>
      <c r="F116" s="1093"/>
      <c r="G116" s="1093"/>
      <c r="H116" s="1093"/>
      <c r="I116" s="1093"/>
      <c r="J116" s="1092"/>
      <c r="K116" s="3"/>
      <c r="L116" s="1008"/>
      <c r="M116" s="1066"/>
      <c r="N116" s="1008"/>
      <c r="Q116" s="8"/>
    </row>
    <row r="117" spans="1:17" x14ac:dyDescent="0.3">
      <c r="A117" s="1125"/>
      <c r="B117" s="102" t="s">
        <v>637</v>
      </c>
      <c r="C117" s="985"/>
      <c r="D117" s="1093"/>
      <c r="E117" s="165">
        <v>1E-3</v>
      </c>
      <c r="F117" s="1093"/>
      <c r="G117" s="1093"/>
      <c r="H117" s="1093"/>
      <c r="I117" s="1093"/>
      <c r="J117" s="1092"/>
      <c r="K117" s="3"/>
      <c r="L117" s="1008"/>
      <c r="M117" s="1066"/>
      <c r="N117" s="1008"/>
      <c r="Q117" s="8"/>
    </row>
    <row r="118" spans="1:17" x14ac:dyDescent="0.3">
      <c r="A118" s="1125"/>
      <c r="B118" s="84" t="s">
        <v>638</v>
      </c>
      <c r="C118" s="985"/>
      <c r="D118" s="1095" t="s">
        <v>252</v>
      </c>
      <c r="E118" s="108">
        <v>0.24199999999999999</v>
      </c>
      <c r="F118" s="1095"/>
      <c r="G118" s="117"/>
      <c r="H118" s="457"/>
      <c r="I118" s="117"/>
      <c r="J118" s="1094" t="s">
        <v>51</v>
      </c>
      <c r="K118" s="3"/>
      <c r="L118" s="1008"/>
      <c r="M118" s="1066"/>
      <c r="N118" s="1008"/>
      <c r="Q118" s="8"/>
    </row>
    <row r="119" spans="1:17" x14ac:dyDescent="0.3">
      <c r="A119" s="1125"/>
      <c r="B119" s="84" t="s">
        <v>639</v>
      </c>
      <c r="C119" s="985"/>
      <c r="D119" s="1095"/>
      <c r="E119" s="108">
        <v>0.24199999999999999</v>
      </c>
      <c r="F119" s="1095"/>
      <c r="G119" s="117"/>
      <c r="H119" s="457"/>
      <c r="I119" s="117"/>
      <c r="J119" s="1094"/>
      <c r="K119" s="3"/>
      <c r="L119" s="1008"/>
      <c r="M119" s="1066"/>
      <c r="N119" s="1008"/>
      <c r="Q119" s="8"/>
    </row>
    <row r="120" spans="1:17" x14ac:dyDescent="0.3">
      <c r="A120" s="1125"/>
      <c r="B120" s="182" t="s">
        <v>640</v>
      </c>
      <c r="C120" s="985"/>
      <c r="D120" s="1097" t="s">
        <v>270</v>
      </c>
      <c r="E120" s="251">
        <v>4.3999999999999997E-2</v>
      </c>
      <c r="F120" s="299"/>
      <c r="G120" s="357"/>
      <c r="H120" s="299"/>
      <c r="I120" s="357"/>
      <c r="K120" s="3"/>
      <c r="L120" s="1008"/>
      <c r="M120" s="1066"/>
      <c r="N120" s="1008"/>
      <c r="Q120" s="8"/>
    </row>
    <row r="121" spans="1:17" x14ac:dyDescent="0.3">
      <c r="A121" s="1125"/>
      <c r="B121" s="184" t="s">
        <v>632</v>
      </c>
      <c r="C121" s="985"/>
      <c r="D121" s="1097"/>
      <c r="E121" s="251">
        <v>7.0000000000000001E-3</v>
      </c>
      <c r="F121" s="299"/>
      <c r="G121" s="357"/>
      <c r="H121" s="299"/>
      <c r="I121" s="357"/>
      <c r="K121" s="3"/>
      <c r="L121" s="1008"/>
      <c r="M121" s="1066"/>
      <c r="N121" s="1008"/>
      <c r="Q121" s="8"/>
    </row>
    <row r="122" spans="1:17" x14ac:dyDescent="0.3">
      <c r="A122" s="1125"/>
      <c r="B122" s="192" t="s">
        <v>610</v>
      </c>
      <c r="C122" s="985"/>
      <c r="D122" s="1098" t="s">
        <v>244</v>
      </c>
      <c r="E122" s="248">
        <v>3.0000000000000001E-3</v>
      </c>
      <c r="F122" s="299"/>
      <c r="G122" s="357"/>
      <c r="H122" s="299"/>
      <c r="I122" s="357"/>
      <c r="K122" s="3"/>
      <c r="L122" s="1008"/>
      <c r="M122" s="1066"/>
      <c r="N122" s="1008"/>
      <c r="Q122" s="8"/>
    </row>
    <row r="123" spans="1:17" x14ac:dyDescent="0.3">
      <c r="A123" s="1125"/>
      <c r="B123" s="192" t="s">
        <v>641</v>
      </c>
      <c r="C123" s="985"/>
      <c r="D123" s="1098"/>
      <c r="E123" s="250">
        <v>1E-3</v>
      </c>
      <c r="F123" s="299"/>
      <c r="G123" s="357"/>
      <c r="H123" s="299"/>
      <c r="I123" s="357"/>
      <c r="K123" s="3"/>
      <c r="L123" s="1008"/>
      <c r="M123" s="1066"/>
      <c r="N123" s="1008"/>
      <c r="Q123" s="8"/>
    </row>
    <row r="124" spans="1:17" x14ac:dyDescent="0.3">
      <c r="A124" s="1125"/>
      <c r="B124" s="175" t="s">
        <v>550</v>
      </c>
      <c r="C124" s="985"/>
      <c r="D124" s="1135" t="s">
        <v>253</v>
      </c>
      <c r="E124" s="252">
        <v>0.122</v>
      </c>
      <c r="F124" s="299"/>
      <c r="G124" s="357"/>
      <c r="H124" s="299"/>
      <c r="I124" s="357"/>
      <c r="K124" s="3"/>
      <c r="L124" s="1008"/>
      <c r="M124" s="1066"/>
      <c r="N124" s="1008"/>
      <c r="Q124" s="8"/>
    </row>
    <row r="125" spans="1:17" x14ac:dyDescent="0.3">
      <c r="A125" s="1125"/>
      <c r="B125" s="193" t="s">
        <v>642</v>
      </c>
      <c r="C125" s="985"/>
      <c r="D125" s="1135"/>
      <c r="E125" s="252">
        <v>2.4E-2</v>
      </c>
      <c r="F125" s="299"/>
      <c r="G125" s="357"/>
      <c r="H125" s="299"/>
      <c r="I125" s="357"/>
      <c r="K125" s="3"/>
      <c r="L125" s="1008"/>
      <c r="M125" s="1066"/>
      <c r="N125" s="1008"/>
      <c r="Q125" s="8"/>
    </row>
    <row r="126" spans="1:17" x14ac:dyDescent="0.3">
      <c r="A126" s="1125"/>
      <c r="B126" s="193" t="s">
        <v>643</v>
      </c>
      <c r="C126" s="985"/>
      <c r="D126" s="1135"/>
      <c r="E126" s="252">
        <v>2E-3</v>
      </c>
      <c r="F126" s="299"/>
      <c r="G126" s="357"/>
      <c r="H126" s="299"/>
      <c r="I126" s="357"/>
      <c r="K126" s="3"/>
      <c r="L126" s="1008"/>
      <c r="M126" s="1066"/>
      <c r="N126" s="1008"/>
      <c r="Q126" s="8"/>
    </row>
    <row r="127" spans="1:17" x14ac:dyDescent="0.3">
      <c r="A127" s="1125"/>
      <c r="B127" s="193" t="s">
        <v>644</v>
      </c>
      <c r="C127" s="985"/>
      <c r="D127" s="1135"/>
      <c r="E127" s="252">
        <v>4.0000000000000001E-3</v>
      </c>
      <c r="F127" s="299"/>
      <c r="G127" s="357"/>
      <c r="H127" s="299"/>
      <c r="I127" s="357"/>
      <c r="K127" s="3"/>
      <c r="L127" s="1008"/>
      <c r="M127" s="1066"/>
      <c r="N127" s="1008"/>
      <c r="Q127" s="8"/>
    </row>
    <row r="128" spans="1:17" ht="15" thickBot="1" x14ac:dyDescent="0.35">
      <c r="A128" s="1126"/>
      <c r="B128" s="265" t="s">
        <v>558</v>
      </c>
      <c r="C128" s="1044"/>
      <c r="D128" s="266" t="s">
        <v>248</v>
      </c>
      <c r="E128" s="267">
        <v>2E-3</v>
      </c>
      <c r="F128" s="653"/>
      <c r="G128" s="451"/>
      <c r="H128" s="653"/>
      <c r="I128" s="451"/>
      <c r="J128" s="11"/>
      <c r="K128" s="11"/>
      <c r="L128" s="1009"/>
      <c r="M128" s="1067"/>
      <c r="N128" s="1009"/>
      <c r="O128" s="9"/>
      <c r="P128" s="9"/>
      <c r="Q128" s="10"/>
    </row>
    <row r="129" spans="1:17" x14ac:dyDescent="0.3">
      <c r="C129" s="3"/>
      <c r="E129" s="1"/>
      <c r="G129" s="662"/>
      <c r="I129" s="662"/>
      <c r="J129" s="17"/>
      <c r="K129"/>
    </row>
    <row r="130" spans="1:17" ht="15" thickBot="1" x14ac:dyDescent="0.35">
      <c r="A130"/>
      <c r="C130" s="3"/>
      <c r="E130" s="1"/>
      <c r="G130" s="662"/>
      <c r="I130" s="662"/>
      <c r="J130" s="17"/>
      <c r="K130"/>
    </row>
    <row r="131" spans="1:17" ht="15" thickBot="1" x14ac:dyDescent="0.35">
      <c r="A131" s="1124" t="s">
        <v>645</v>
      </c>
      <c r="B131" s="83" t="s">
        <v>646</v>
      </c>
      <c r="C131" s="2"/>
      <c r="D131" s="67" t="s">
        <v>532</v>
      </c>
      <c r="E131" s="66">
        <f>SUM(E132:E147)</f>
        <v>1.8029999999999997</v>
      </c>
      <c r="F131" s="704"/>
      <c r="G131" s="67"/>
      <c r="H131" s="705"/>
      <c r="I131" s="67"/>
      <c r="J131" s="706"/>
      <c r="K131" s="5"/>
      <c r="L131" s="1065" t="s">
        <v>414</v>
      </c>
      <c r="M131" s="1007" t="s">
        <v>227</v>
      </c>
      <c r="N131" s="1007" t="s">
        <v>647</v>
      </c>
      <c r="O131" s="5"/>
      <c r="P131" s="5"/>
      <c r="Q131" s="6"/>
    </row>
    <row r="132" spans="1:17" x14ac:dyDescent="0.3">
      <c r="A132" s="1125"/>
      <c r="B132" s="102" t="s">
        <v>648</v>
      </c>
      <c r="C132" s="3"/>
      <c r="D132" s="249" t="s">
        <v>47</v>
      </c>
      <c r="E132" s="162">
        <v>0.155</v>
      </c>
      <c r="F132" s="195"/>
      <c r="G132" s="162"/>
      <c r="H132" s="195"/>
      <c r="I132" s="162"/>
      <c r="J132" s="195" t="s">
        <v>51</v>
      </c>
      <c r="K132" s="3"/>
      <c r="L132" s="1066"/>
      <c r="M132" s="1008"/>
      <c r="N132" s="1008"/>
      <c r="Q132" s="8"/>
    </row>
    <row r="133" spans="1:17" x14ac:dyDescent="0.3">
      <c r="A133" s="1125"/>
      <c r="B133" s="111" t="s">
        <v>649</v>
      </c>
      <c r="C133" s="3"/>
      <c r="D133" s="76" t="s">
        <v>288</v>
      </c>
      <c r="E133" s="76">
        <v>0.29799999999999999</v>
      </c>
      <c r="F133" s="299"/>
      <c r="G133" s="357"/>
      <c r="H133" s="299"/>
      <c r="I133" s="357"/>
      <c r="K133" s="3"/>
      <c r="L133" s="1066"/>
      <c r="M133" s="1008"/>
      <c r="N133" s="1008"/>
      <c r="Q133" s="8"/>
    </row>
    <row r="134" spans="1:17" x14ac:dyDescent="0.3">
      <c r="A134" s="1125"/>
      <c r="B134" s="103" t="s">
        <v>650</v>
      </c>
      <c r="C134" s="3"/>
      <c r="D134" s="159" t="s">
        <v>91</v>
      </c>
      <c r="E134" s="159">
        <v>6.2E-2</v>
      </c>
      <c r="F134" s="459"/>
      <c r="G134" s="159"/>
      <c r="H134" s="459"/>
      <c r="I134" s="159"/>
      <c r="J134" s="459"/>
      <c r="K134" s="3"/>
      <c r="L134" s="1066"/>
      <c r="M134" s="1008"/>
      <c r="N134" s="1008"/>
      <c r="Q134" s="8"/>
    </row>
    <row r="135" spans="1:17" x14ac:dyDescent="0.3">
      <c r="A135" s="1125"/>
      <c r="B135" s="184" t="s">
        <v>651</v>
      </c>
      <c r="C135" s="3"/>
      <c r="D135" s="1097" t="s">
        <v>270</v>
      </c>
      <c r="E135" s="181">
        <v>0.02</v>
      </c>
      <c r="F135" s="299"/>
      <c r="G135" s="357"/>
      <c r="H135" s="299"/>
      <c r="I135" s="357"/>
      <c r="K135" s="3"/>
      <c r="L135" s="1066"/>
      <c r="M135" s="1008"/>
      <c r="N135" s="1008"/>
      <c r="Q135" s="8"/>
    </row>
    <row r="136" spans="1:17" x14ac:dyDescent="0.3">
      <c r="A136" s="1125"/>
      <c r="B136" s="184" t="s">
        <v>652</v>
      </c>
      <c r="C136" s="3"/>
      <c r="D136" s="1097"/>
      <c r="E136" s="181">
        <v>7.0000000000000001E-3</v>
      </c>
      <c r="F136" s="299"/>
      <c r="G136" s="357"/>
      <c r="H136" s="299"/>
      <c r="I136" s="357"/>
      <c r="K136" s="3"/>
      <c r="L136" s="1066"/>
      <c r="M136" s="1008"/>
      <c r="N136" s="1008"/>
      <c r="Q136" s="8"/>
    </row>
    <row r="137" spans="1:17" x14ac:dyDescent="0.3">
      <c r="A137" s="1125"/>
      <c r="B137" s="184" t="s">
        <v>653</v>
      </c>
      <c r="C137" s="3"/>
      <c r="D137" s="1097"/>
      <c r="E137" s="181">
        <v>2E-3</v>
      </c>
      <c r="F137" s="299"/>
      <c r="G137" s="357"/>
      <c r="H137" s="299"/>
      <c r="I137" s="357"/>
      <c r="K137" s="3"/>
      <c r="L137" s="1066"/>
      <c r="M137" s="1008"/>
      <c r="N137" s="1008"/>
      <c r="Q137" s="8"/>
    </row>
    <row r="138" spans="1:17" x14ac:dyDescent="0.3">
      <c r="A138" s="1125"/>
      <c r="B138" s="193" t="s">
        <v>654</v>
      </c>
      <c r="C138" s="3"/>
      <c r="D138" s="1096" t="s">
        <v>253</v>
      </c>
      <c r="E138" s="174">
        <v>2.7E-2</v>
      </c>
      <c r="F138" s="299"/>
      <c r="G138" s="357"/>
      <c r="H138" s="299"/>
      <c r="I138" s="357"/>
      <c r="K138" s="3"/>
      <c r="L138" s="1066"/>
      <c r="M138" s="1008"/>
      <c r="N138" s="1008"/>
      <c r="Q138" s="8"/>
    </row>
    <row r="139" spans="1:17" x14ac:dyDescent="0.3">
      <c r="A139" s="1125"/>
      <c r="B139" s="193" t="s">
        <v>655</v>
      </c>
      <c r="C139" s="3"/>
      <c r="D139" s="1096"/>
      <c r="E139" s="174">
        <v>6.0000000000000001E-3</v>
      </c>
      <c r="F139" s="299"/>
      <c r="G139" s="357"/>
      <c r="H139" s="299"/>
      <c r="I139" s="357"/>
      <c r="K139" s="3"/>
      <c r="L139" s="1066"/>
      <c r="M139" s="1008"/>
      <c r="N139" s="1008"/>
      <c r="Q139" s="8"/>
    </row>
    <row r="140" spans="1:17" x14ac:dyDescent="0.3">
      <c r="A140" s="1125"/>
      <c r="B140" s="193" t="s">
        <v>656</v>
      </c>
      <c r="C140" s="3"/>
      <c r="D140" s="1096"/>
      <c r="E140" s="174">
        <v>1.0999999999999999E-2</v>
      </c>
      <c r="F140" s="299"/>
      <c r="G140" s="357"/>
      <c r="H140" s="299"/>
      <c r="I140" s="357"/>
      <c r="K140" s="3"/>
      <c r="L140" s="1066"/>
      <c r="M140" s="1008"/>
      <c r="N140" s="1008"/>
      <c r="Q140" s="8"/>
    </row>
    <row r="141" spans="1:17" x14ac:dyDescent="0.3">
      <c r="A141" s="1125"/>
      <c r="B141" s="193" t="s">
        <v>657</v>
      </c>
      <c r="C141" s="3"/>
      <c r="D141" s="1096"/>
      <c r="E141" s="174">
        <v>2E-3</v>
      </c>
      <c r="F141" s="299"/>
      <c r="G141" s="357"/>
      <c r="H141" s="299"/>
      <c r="I141" s="357"/>
      <c r="K141" s="3"/>
      <c r="L141" s="1066"/>
      <c r="M141" s="1008"/>
      <c r="N141" s="1008"/>
      <c r="Q141" s="8"/>
    </row>
    <row r="142" spans="1:17" x14ac:dyDescent="0.3">
      <c r="A142" s="1125"/>
      <c r="B142" s="193" t="s">
        <v>658</v>
      </c>
      <c r="C142" s="3"/>
      <c r="D142" s="1096"/>
      <c r="E142" s="174">
        <v>1E-3</v>
      </c>
      <c r="F142" s="299"/>
      <c r="G142" s="357"/>
      <c r="H142" s="299"/>
      <c r="I142" s="357"/>
      <c r="K142" s="3"/>
      <c r="L142" s="1066"/>
      <c r="M142" s="1008"/>
      <c r="N142" s="1008"/>
      <c r="Q142" s="8"/>
    </row>
    <row r="143" spans="1:17" x14ac:dyDescent="0.3">
      <c r="A143" s="1125"/>
      <c r="B143" s="447" t="s">
        <v>659</v>
      </c>
      <c r="C143" s="3"/>
      <c r="D143" s="1133" t="s">
        <v>273</v>
      </c>
      <c r="E143" s="262">
        <v>0.71299999999999997</v>
      </c>
      <c r="F143" s="299"/>
      <c r="G143" s="357"/>
      <c r="H143" s="299"/>
      <c r="I143" s="357"/>
      <c r="K143" s="3"/>
      <c r="L143" s="1066"/>
      <c r="M143" s="1008"/>
      <c r="N143" s="1008"/>
      <c r="Q143" s="8"/>
    </row>
    <row r="144" spans="1:17" x14ac:dyDescent="0.3">
      <c r="A144" s="1125"/>
      <c r="B144" s="447" t="s">
        <v>660</v>
      </c>
      <c r="C144" s="3"/>
      <c r="D144" s="1134"/>
      <c r="E144" s="262">
        <v>0.154</v>
      </c>
      <c r="F144" s="299"/>
      <c r="G144" s="357"/>
      <c r="H144" s="299"/>
      <c r="I144" s="357"/>
      <c r="K144" s="3"/>
      <c r="L144" s="1066"/>
      <c r="M144" s="1008"/>
      <c r="N144" s="1008"/>
      <c r="Q144" s="8"/>
    </row>
    <row r="145" spans="1:17" ht="15" thickBot="1" x14ac:dyDescent="0.35">
      <c r="A145" s="1125"/>
      <c r="B145" s="263" t="s">
        <v>661</v>
      </c>
      <c r="C145" s="3"/>
      <c r="D145" s="211" t="s">
        <v>276</v>
      </c>
      <c r="E145" s="177">
        <v>2E-3</v>
      </c>
      <c r="F145" s="299"/>
      <c r="G145" s="357"/>
      <c r="H145" s="299"/>
      <c r="I145" s="357"/>
      <c r="K145" s="3"/>
      <c r="L145" s="1066"/>
      <c r="M145" s="1008"/>
      <c r="N145" s="1008"/>
      <c r="Q145" s="8"/>
    </row>
    <row r="146" spans="1:17" x14ac:dyDescent="0.3">
      <c r="A146" s="1125"/>
      <c r="B146" s="164" t="s">
        <v>592</v>
      </c>
      <c r="C146" s="3"/>
      <c r="D146" s="65" t="s">
        <v>240</v>
      </c>
      <c r="E146" s="176">
        <v>3.0000000000000001E-3</v>
      </c>
      <c r="F146" s="299"/>
      <c r="G146" s="357"/>
      <c r="H146" s="299"/>
      <c r="I146" s="357"/>
      <c r="K146" s="3"/>
      <c r="L146" s="1066"/>
      <c r="M146" s="1008"/>
      <c r="N146" s="1008"/>
      <c r="Q146" s="8"/>
    </row>
    <row r="147" spans="1:17" ht="15" thickBot="1" x14ac:dyDescent="0.35">
      <c r="A147" s="1126"/>
      <c r="B147" s="110" t="s">
        <v>662</v>
      </c>
      <c r="C147" s="11"/>
      <c r="D147" s="91"/>
      <c r="E147" s="107">
        <v>0.34</v>
      </c>
      <c r="F147" s="11"/>
      <c r="G147" s="91"/>
      <c r="H147" s="11"/>
      <c r="I147" s="91"/>
      <c r="J147" s="163"/>
      <c r="K147" s="9"/>
      <c r="L147" s="1067"/>
      <c r="M147" s="1009"/>
      <c r="N147" s="1009"/>
      <c r="O147" s="9"/>
      <c r="P147" s="9"/>
      <c r="Q147" s="10"/>
    </row>
    <row r="148" spans="1:17" ht="15" customHeight="1" x14ac:dyDescent="0.3">
      <c r="A148"/>
      <c r="C148" s="3"/>
      <c r="E148" s="1"/>
      <c r="G148" s="662"/>
      <c r="I148" s="662"/>
      <c r="J148" s="17"/>
      <c r="K148"/>
    </row>
    <row r="149" spans="1:17" ht="15" thickBot="1" x14ac:dyDescent="0.35">
      <c r="A149"/>
      <c r="C149" s="3"/>
      <c r="E149" s="1"/>
      <c r="G149" s="662"/>
      <c r="I149" s="662"/>
      <c r="J149" s="17"/>
      <c r="K149"/>
    </row>
    <row r="150" spans="1:17" ht="15" thickBot="1" x14ac:dyDescent="0.35">
      <c r="A150" s="1131" t="s">
        <v>663</v>
      </c>
      <c r="B150" s="83" t="s">
        <v>664</v>
      </c>
      <c r="C150" s="2"/>
      <c r="D150" s="67" t="s">
        <v>532</v>
      </c>
      <c r="E150" s="66">
        <f>SUM(E151:E164)</f>
        <v>0.16810000000000003</v>
      </c>
      <c r="F150" s="704"/>
      <c r="G150" s="66"/>
      <c r="H150" s="705"/>
      <c r="I150" s="66"/>
      <c r="J150" s="707"/>
      <c r="K150" s="339"/>
      <c r="L150" s="1007"/>
      <c r="M150" s="1065"/>
      <c r="N150" s="1007"/>
      <c r="O150" s="5"/>
      <c r="P150" s="5"/>
      <c r="Q150" s="6"/>
    </row>
    <row r="151" spans="1:17" ht="15" customHeight="1" x14ac:dyDescent="0.3">
      <c r="A151" s="1132"/>
      <c r="B151" s="102" t="s">
        <v>665</v>
      </c>
      <c r="C151" s="3"/>
      <c r="D151" s="1106" t="s">
        <v>47</v>
      </c>
      <c r="E151" s="166">
        <v>1E-3</v>
      </c>
      <c r="F151" s="1093"/>
      <c r="G151" s="162"/>
      <c r="H151" s="195"/>
      <c r="I151" s="162"/>
      <c r="J151" s="1092" t="s">
        <v>51</v>
      </c>
      <c r="K151" s="3"/>
      <c r="L151" s="1008"/>
      <c r="M151" s="1066"/>
      <c r="N151" s="1008"/>
      <c r="Q151" s="8"/>
    </row>
    <row r="152" spans="1:17" x14ac:dyDescent="0.3">
      <c r="A152" s="1132"/>
      <c r="B152" s="102" t="s">
        <v>666</v>
      </c>
      <c r="C152" s="3"/>
      <c r="D152" s="1093"/>
      <c r="E152" s="166">
        <v>1E-4</v>
      </c>
      <c r="F152" s="1093"/>
      <c r="G152" s="162"/>
      <c r="H152" s="195"/>
      <c r="I152" s="162"/>
      <c r="J152" s="1092"/>
      <c r="K152" s="3"/>
      <c r="L152" s="1008"/>
      <c r="M152" s="1066"/>
      <c r="N152" s="1008"/>
      <c r="Q152" s="8"/>
    </row>
    <row r="153" spans="1:17" x14ac:dyDescent="0.3">
      <c r="A153" s="1132"/>
      <c r="B153" s="84" t="s">
        <v>667</v>
      </c>
      <c r="C153" s="3"/>
      <c r="D153" s="117" t="s">
        <v>252</v>
      </c>
      <c r="E153" s="105">
        <v>5.5E-2</v>
      </c>
      <c r="F153" s="457"/>
      <c r="G153" s="117"/>
      <c r="H153" s="457"/>
      <c r="I153" s="117"/>
      <c r="J153" s="457" t="s">
        <v>51</v>
      </c>
      <c r="K153" s="3"/>
      <c r="L153" s="1008"/>
      <c r="M153" s="1066"/>
      <c r="N153" s="1008"/>
      <c r="Q153" s="8"/>
    </row>
    <row r="154" spans="1:17" x14ac:dyDescent="0.3">
      <c r="A154" s="1132"/>
      <c r="B154" s="184" t="s">
        <v>668</v>
      </c>
      <c r="C154" s="3"/>
      <c r="D154" s="180" t="s">
        <v>270</v>
      </c>
      <c r="E154" s="181">
        <v>3.0000000000000001E-3</v>
      </c>
      <c r="F154" s="299"/>
      <c r="G154" s="357"/>
      <c r="H154" s="299"/>
      <c r="I154" s="357"/>
      <c r="K154" s="3"/>
      <c r="L154" s="1008"/>
      <c r="M154" s="1066"/>
      <c r="N154" s="1008"/>
      <c r="Q154" s="8"/>
    </row>
    <row r="155" spans="1:17" x14ac:dyDescent="0.3">
      <c r="A155" s="1132"/>
      <c r="B155" s="193" t="s">
        <v>669</v>
      </c>
      <c r="C155" s="3"/>
      <c r="D155" s="1096" t="s">
        <v>253</v>
      </c>
      <c r="E155" s="174">
        <v>3.0000000000000001E-3</v>
      </c>
      <c r="F155" s="299"/>
      <c r="G155" s="357"/>
      <c r="H155" s="299"/>
      <c r="I155" s="357"/>
      <c r="K155" s="3"/>
      <c r="L155" s="1008"/>
      <c r="M155" s="1066"/>
      <c r="N155" s="1008"/>
      <c r="Q155" s="8"/>
    </row>
    <row r="156" spans="1:17" ht="15" customHeight="1" x14ac:dyDescent="0.3">
      <c r="A156" s="1132"/>
      <c r="B156" s="193" t="s">
        <v>670</v>
      </c>
      <c r="C156" s="3"/>
      <c r="D156" s="1096"/>
      <c r="E156" s="174">
        <v>1E-3</v>
      </c>
      <c r="F156" s="299"/>
      <c r="G156" s="357"/>
      <c r="H156" s="299"/>
      <c r="I156" s="357"/>
      <c r="K156" s="3"/>
      <c r="L156" s="1008"/>
      <c r="M156" s="1066"/>
      <c r="N156" s="1008"/>
      <c r="Q156" s="8"/>
    </row>
    <row r="157" spans="1:17" x14ac:dyDescent="0.3">
      <c r="A157" s="1132"/>
      <c r="B157" s="193" t="s">
        <v>671</v>
      </c>
      <c r="C157" s="3"/>
      <c r="D157" s="1096"/>
      <c r="E157" s="174">
        <v>3.0000000000000001E-3</v>
      </c>
      <c r="F157" s="299"/>
      <c r="G157" s="357"/>
      <c r="H157" s="299"/>
      <c r="I157" s="357"/>
      <c r="K157" s="3"/>
      <c r="L157" s="1008"/>
      <c r="M157" s="1066"/>
      <c r="N157" s="1008"/>
      <c r="Q157" s="8"/>
    </row>
    <row r="158" spans="1:17" x14ac:dyDescent="0.3">
      <c r="A158" s="1132"/>
      <c r="B158" s="193" t="s">
        <v>672</v>
      </c>
      <c r="C158" s="3"/>
      <c r="D158" s="1096"/>
      <c r="E158" s="174">
        <v>3.0000000000000001E-3</v>
      </c>
      <c r="F158" s="299"/>
      <c r="G158" s="357"/>
      <c r="H158" s="299"/>
      <c r="I158" s="357"/>
      <c r="K158" s="3"/>
      <c r="L158" s="1008"/>
      <c r="M158" s="1066"/>
      <c r="N158" s="1008"/>
      <c r="Q158" s="8"/>
    </row>
    <row r="159" spans="1:17" x14ac:dyDescent="0.3">
      <c r="A159" s="1132"/>
      <c r="B159" s="193" t="s">
        <v>673</v>
      </c>
      <c r="C159" s="3"/>
      <c r="D159" s="1096"/>
      <c r="E159" s="174">
        <v>6.0000000000000001E-3</v>
      </c>
      <c r="F159" s="299"/>
      <c r="G159" s="357"/>
      <c r="H159" s="299"/>
      <c r="I159" s="357"/>
      <c r="K159" s="3"/>
      <c r="L159" s="1008"/>
      <c r="M159" s="1066"/>
      <c r="N159" s="1008"/>
      <c r="Q159" s="8"/>
    </row>
    <row r="160" spans="1:17" x14ac:dyDescent="0.3">
      <c r="A160" s="1132"/>
      <c r="B160" s="193" t="s">
        <v>674</v>
      </c>
      <c r="C160" s="3"/>
      <c r="D160" s="1096"/>
      <c r="E160" s="174">
        <v>1E-3</v>
      </c>
      <c r="F160" s="299"/>
      <c r="G160" s="357"/>
      <c r="H160" s="299"/>
      <c r="I160" s="357"/>
      <c r="K160" s="3"/>
      <c r="L160" s="1008"/>
      <c r="M160" s="1066"/>
      <c r="N160" s="1008"/>
      <c r="Q160" s="8"/>
    </row>
    <row r="161" spans="1:17" x14ac:dyDescent="0.3">
      <c r="A161" s="1132"/>
      <c r="B161" s="193" t="s">
        <v>675</v>
      </c>
      <c r="C161" s="3"/>
      <c r="D161" s="1096"/>
      <c r="E161" s="174">
        <v>1.6E-2</v>
      </c>
      <c r="F161" s="299"/>
      <c r="G161" s="357"/>
      <c r="H161" s="299"/>
      <c r="I161" s="357"/>
      <c r="K161" s="3"/>
      <c r="L161" s="1008"/>
      <c r="M161" s="1066"/>
      <c r="N161" s="1008"/>
      <c r="Q161" s="8"/>
    </row>
    <row r="162" spans="1:17" x14ac:dyDescent="0.3">
      <c r="A162" s="1132"/>
      <c r="B162" s="193" t="s">
        <v>676</v>
      </c>
      <c r="C162" s="3"/>
      <c r="D162" s="1096"/>
      <c r="E162" s="174">
        <v>6.0000000000000001E-3</v>
      </c>
      <c r="F162" s="299"/>
      <c r="G162" s="357"/>
      <c r="H162" s="299"/>
      <c r="I162" s="357"/>
      <c r="K162" s="3"/>
      <c r="L162" s="1008"/>
      <c r="M162" s="1066"/>
      <c r="N162" s="1008"/>
      <c r="Q162" s="8"/>
    </row>
    <row r="163" spans="1:17" x14ac:dyDescent="0.3">
      <c r="A163" s="1132"/>
      <c r="B163" s="193" t="s">
        <v>677</v>
      </c>
      <c r="C163" s="3"/>
      <c r="D163" s="1096"/>
      <c r="E163" s="174">
        <v>0.06</v>
      </c>
      <c r="F163" s="299"/>
      <c r="G163" s="357"/>
      <c r="H163" s="299"/>
      <c r="I163" s="357"/>
      <c r="K163" s="3"/>
      <c r="L163" s="1008"/>
      <c r="M163" s="1066"/>
      <c r="N163" s="1008"/>
      <c r="Q163" s="8"/>
    </row>
    <row r="164" spans="1:17" x14ac:dyDescent="0.3">
      <c r="A164" s="39"/>
      <c r="B164" s="111" t="s">
        <v>678</v>
      </c>
      <c r="C164" s="3"/>
      <c r="D164" s="76" t="s">
        <v>288</v>
      </c>
      <c r="E164" s="109">
        <v>0.01</v>
      </c>
      <c r="F164" s="299"/>
      <c r="G164" s="357"/>
      <c r="H164" s="299"/>
      <c r="I164" s="357"/>
      <c r="K164" s="3"/>
      <c r="L164" s="1008"/>
      <c r="M164" s="1066"/>
      <c r="N164" s="1008"/>
      <c r="Q164" s="8"/>
    </row>
    <row r="165" spans="1:17" x14ac:dyDescent="0.3">
      <c r="A165"/>
      <c r="C165" s="3"/>
      <c r="E165" s="1"/>
      <c r="G165" s="662"/>
      <c r="I165" s="662"/>
      <c r="J165" s="17"/>
      <c r="K165"/>
    </row>
    <row r="166" spans="1:17" ht="15" thickBot="1" x14ac:dyDescent="0.35">
      <c r="A166"/>
      <c r="C166" s="3"/>
      <c r="E166" s="1"/>
      <c r="G166" s="662"/>
      <c r="I166" s="662"/>
      <c r="J166" s="17"/>
      <c r="K166"/>
    </row>
    <row r="167" spans="1:17" x14ac:dyDescent="0.3">
      <c r="A167" s="51"/>
      <c r="B167" s="253" t="s">
        <v>679</v>
      </c>
      <c r="C167" s="2"/>
      <c r="D167" s="255" t="s">
        <v>253</v>
      </c>
      <c r="E167" s="257">
        <v>1E-3</v>
      </c>
      <c r="F167" s="2"/>
      <c r="G167" s="663"/>
      <c r="H167" s="2"/>
      <c r="I167" s="663"/>
      <c r="J167" s="38"/>
      <c r="K167" s="5"/>
      <c r="L167" s="1007" t="s">
        <v>414</v>
      </c>
      <c r="M167" s="1007"/>
      <c r="N167" s="1007"/>
      <c r="O167" s="5"/>
      <c r="P167" s="5"/>
      <c r="Q167" s="6"/>
    </row>
    <row r="168" spans="1:17" ht="15" thickBot="1" x14ac:dyDescent="0.35">
      <c r="A168" s="48"/>
      <c r="B168" s="254" t="s">
        <v>680</v>
      </c>
      <c r="C168" s="11"/>
      <c r="D168" s="256" t="s">
        <v>253</v>
      </c>
      <c r="E168" s="258">
        <v>1E-3</v>
      </c>
      <c r="F168" s="11"/>
      <c r="G168" s="91"/>
      <c r="H168" s="11"/>
      <c r="I168" s="91"/>
      <c r="J168" s="163"/>
      <c r="K168" s="9"/>
      <c r="L168" s="1009"/>
      <c r="M168" s="1009"/>
      <c r="N168" s="1009"/>
      <c r="O168" s="9"/>
      <c r="P168" s="9"/>
      <c r="Q168" s="10"/>
    </row>
    <row r="169" spans="1:17" x14ac:dyDescent="0.3">
      <c r="A169"/>
      <c r="C169" s="3"/>
      <c r="E169" s="1"/>
      <c r="G169" s="662"/>
      <c r="I169" s="662"/>
      <c r="J169" s="17"/>
      <c r="K169"/>
    </row>
    <row r="170" spans="1:17" ht="15" thickBot="1" x14ac:dyDescent="0.35">
      <c r="A170"/>
      <c r="C170" s="3"/>
      <c r="E170" s="1"/>
      <c r="G170" s="662"/>
      <c r="I170" s="662"/>
      <c r="J170" s="17"/>
      <c r="K170"/>
    </row>
    <row r="171" spans="1:17" ht="15" thickBot="1" x14ac:dyDescent="0.35">
      <c r="A171" s="54"/>
      <c r="B171" s="261" t="s">
        <v>681</v>
      </c>
      <c r="C171" s="56"/>
      <c r="D171" s="259" t="s">
        <v>240</v>
      </c>
      <c r="E171" s="260">
        <v>6.8000000000000005E-2</v>
      </c>
      <c r="F171" s="56"/>
      <c r="G171" s="664"/>
      <c r="H171" s="56"/>
      <c r="I171" s="664"/>
      <c r="J171" s="698"/>
      <c r="K171" s="55"/>
      <c r="L171" s="55"/>
      <c r="M171" s="55"/>
      <c r="N171" s="55"/>
      <c r="O171" s="55"/>
      <c r="P171" s="55"/>
      <c r="Q171" s="57"/>
    </row>
    <row r="172" spans="1:17" x14ac:dyDescent="0.3">
      <c r="A172"/>
      <c r="C172" s="3"/>
      <c r="E172" s="1"/>
      <c r="G172"/>
      <c r="I172"/>
      <c r="J172" s="17"/>
      <c r="K172"/>
    </row>
    <row r="173" spans="1:17" x14ac:dyDescent="0.3">
      <c r="A173"/>
      <c r="C173" s="3"/>
      <c r="E173" s="1"/>
      <c r="G173"/>
      <c r="I173"/>
      <c r="J173" s="17"/>
      <c r="K173"/>
    </row>
    <row r="174" spans="1:17" x14ac:dyDescent="0.3">
      <c r="A174"/>
      <c r="C174" s="3"/>
      <c r="E174" s="1"/>
      <c r="G174"/>
      <c r="I174"/>
      <c r="J174" s="17"/>
      <c r="K174"/>
    </row>
    <row r="175" spans="1:17" x14ac:dyDescent="0.3">
      <c r="A175"/>
      <c r="C175" s="3"/>
      <c r="E175" s="1"/>
      <c r="G175"/>
      <c r="I175"/>
      <c r="J175" s="17"/>
      <c r="K175"/>
    </row>
    <row r="176" spans="1:17" x14ac:dyDescent="0.3">
      <c r="A176"/>
      <c r="C176" s="3"/>
      <c r="E176" s="1"/>
      <c r="G176"/>
      <c r="I176"/>
      <c r="J176" s="17"/>
      <c r="K176"/>
    </row>
    <row r="177" spans="1:11" x14ac:dyDescent="0.3">
      <c r="A177"/>
      <c r="C177" s="3"/>
      <c r="E177" s="1"/>
      <c r="G177"/>
      <c r="I177"/>
      <c r="J177" s="17"/>
      <c r="K177"/>
    </row>
    <row r="178" spans="1:11" x14ac:dyDescent="0.3">
      <c r="A178"/>
      <c r="C178" s="3"/>
      <c r="E178" s="1"/>
      <c r="G178"/>
      <c r="I178"/>
      <c r="J178" s="17"/>
      <c r="K178"/>
    </row>
    <row r="179" spans="1:11" x14ac:dyDescent="0.3">
      <c r="A179"/>
      <c r="C179" s="3"/>
      <c r="E179" s="1"/>
      <c r="G179"/>
      <c r="I179"/>
      <c r="J179" s="17"/>
      <c r="K179"/>
    </row>
    <row r="180" spans="1:11" x14ac:dyDescent="0.3">
      <c r="A180"/>
      <c r="C180" s="3"/>
      <c r="E180" s="1"/>
      <c r="G180"/>
      <c r="I180"/>
      <c r="J180" s="17"/>
      <c r="K180"/>
    </row>
    <row r="181" spans="1:11" x14ac:dyDescent="0.3">
      <c r="A181"/>
      <c r="C181" s="3"/>
      <c r="E181" s="1"/>
      <c r="G181"/>
      <c r="I181"/>
      <c r="J181" s="17"/>
      <c r="K181"/>
    </row>
    <row r="182" spans="1:11" x14ac:dyDescent="0.3">
      <c r="A182"/>
      <c r="C182" s="3"/>
      <c r="E182" s="1"/>
      <c r="G182"/>
      <c r="I182"/>
      <c r="J182" s="17"/>
      <c r="K182"/>
    </row>
    <row r="183" spans="1:11" ht="15" customHeight="1" x14ac:dyDescent="0.3">
      <c r="A183"/>
      <c r="C183" s="3"/>
      <c r="E183" s="1"/>
      <c r="G183"/>
      <c r="I183"/>
      <c r="J183" s="17"/>
      <c r="K183"/>
    </row>
    <row r="184" spans="1:11" x14ac:dyDescent="0.3">
      <c r="A184"/>
      <c r="C184" s="3"/>
      <c r="E184" s="1"/>
      <c r="G184"/>
      <c r="I184"/>
      <c r="J184" s="17"/>
      <c r="K184"/>
    </row>
    <row r="185" spans="1:11" x14ac:dyDescent="0.3">
      <c r="A185"/>
      <c r="C185" s="3"/>
      <c r="E185" s="1"/>
      <c r="G185"/>
      <c r="I185"/>
      <c r="J185" s="17"/>
      <c r="K185"/>
    </row>
    <row r="186" spans="1:11" x14ac:dyDescent="0.3">
      <c r="A186"/>
      <c r="C186" s="3"/>
      <c r="E186" s="1"/>
      <c r="G186"/>
      <c r="I186"/>
      <c r="J186" s="17"/>
      <c r="K186"/>
    </row>
    <row r="187" spans="1:11" x14ac:dyDescent="0.3">
      <c r="A187"/>
      <c r="C187" s="3"/>
      <c r="E187" s="1"/>
      <c r="G187"/>
      <c r="I187"/>
      <c r="J187" s="17"/>
      <c r="K187"/>
    </row>
    <row r="188" spans="1:11" x14ac:dyDescent="0.3">
      <c r="A188"/>
      <c r="C188" s="3"/>
      <c r="E188" s="1"/>
      <c r="G188"/>
      <c r="I188"/>
      <c r="J188" s="17"/>
      <c r="K188"/>
    </row>
    <row r="189" spans="1:11" x14ac:dyDescent="0.3">
      <c r="A189"/>
      <c r="C189" s="3"/>
      <c r="E189" s="1"/>
      <c r="G189"/>
      <c r="I189"/>
      <c r="J189" s="17"/>
      <c r="K189"/>
    </row>
    <row r="190" spans="1:11" x14ac:dyDescent="0.3">
      <c r="A190"/>
      <c r="C190" s="3"/>
      <c r="E190" s="1"/>
      <c r="G190"/>
      <c r="I190"/>
      <c r="J190" s="17"/>
      <c r="K190"/>
    </row>
    <row r="191" spans="1:11" x14ac:dyDescent="0.3">
      <c r="A191"/>
      <c r="C191" s="3"/>
      <c r="E191" s="1"/>
      <c r="G191"/>
      <c r="I191"/>
      <c r="J191" s="17"/>
      <c r="K191"/>
    </row>
    <row r="192" spans="1:11" x14ac:dyDescent="0.3">
      <c r="A192"/>
      <c r="C192" s="3"/>
      <c r="E192" s="1"/>
      <c r="G192"/>
      <c r="I192"/>
      <c r="J192" s="17"/>
      <c r="K192"/>
    </row>
    <row r="193" spans="1:11" x14ac:dyDescent="0.3">
      <c r="A193"/>
      <c r="C193" s="3"/>
      <c r="E193" s="1"/>
      <c r="G193"/>
      <c r="I193"/>
      <c r="J193" s="17"/>
      <c r="K193"/>
    </row>
    <row r="194" spans="1:11" x14ac:dyDescent="0.3">
      <c r="A194"/>
      <c r="C194" s="3"/>
      <c r="E194" s="1"/>
      <c r="G194"/>
      <c r="I194"/>
      <c r="J194" s="17"/>
      <c r="K194"/>
    </row>
    <row r="195" spans="1:11" x14ac:dyDescent="0.3">
      <c r="A195"/>
      <c r="C195" s="3"/>
      <c r="E195" s="1"/>
      <c r="G195"/>
      <c r="I195"/>
      <c r="J195" s="17"/>
      <c r="K195"/>
    </row>
    <row r="196" spans="1:11" x14ac:dyDescent="0.3">
      <c r="A196"/>
      <c r="C196" s="3"/>
      <c r="E196" s="1"/>
      <c r="G196"/>
      <c r="I196"/>
      <c r="J196" s="17"/>
      <c r="K196"/>
    </row>
    <row r="197" spans="1:11" x14ac:dyDescent="0.3">
      <c r="A197"/>
      <c r="C197" s="3"/>
      <c r="E197" s="1"/>
      <c r="G197"/>
      <c r="I197"/>
      <c r="J197" s="17"/>
      <c r="K197"/>
    </row>
    <row r="198" spans="1:11" x14ac:dyDescent="0.3">
      <c r="A198"/>
      <c r="C198" s="3"/>
      <c r="E198" s="1"/>
      <c r="G198"/>
      <c r="I198"/>
      <c r="J198" s="17"/>
      <c r="K198"/>
    </row>
    <row r="199" spans="1:11" x14ac:dyDescent="0.3">
      <c r="A199"/>
      <c r="C199" s="3"/>
      <c r="E199" s="1"/>
      <c r="G199"/>
      <c r="I199"/>
      <c r="J199" s="17"/>
      <c r="K199"/>
    </row>
    <row r="200" spans="1:11" x14ac:dyDescent="0.3">
      <c r="A200"/>
      <c r="C200" s="3"/>
      <c r="E200" s="1"/>
      <c r="G200"/>
      <c r="I200"/>
      <c r="J200" s="17"/>
      <c r="K200"/>
    </row>
    <row r="201" spans="1:11" x14ac:dyDescent="0.3">
      <c r="A201"/>
      <c r="C201" s="3"/>
      <c r="E201" s="1"/>
      <c r="G201"/>
      <c r="I201"/>
      <c r="J201" s="17"/>
      <c r="K201"/>
    </row>
    <row r="202" spans="1:11" x14ac:dyDescent="0.3">
      <c r="A202"/>
      <c r="C202" s="3"/>
      <c r="E202" s="1"/>
      <c r="G202"/>
      <c r="I202"/>
      <c r="J202" s="17"/>
      <c r="K202"/>
    </row>
    <row r="203" spans="1:11" x14ac:dyDescent="0.3">
      <c r="A203"/>
      <c r="C203" s="3"/>
      <c r="E203" s="1"/>
      <c r="G203"/>
      <c r="I203"/>
      <c r="J203" s="17"/>
      <c r="K203"/>
    </row>
    <row r="204" spans="1:11" x14ac:dyDescent="0.3">
      <c r="A204"/>
      <c r="C204" s="3"/>
      <c r="E204" s="1"/>
      <c r="G204"/>
      <c r="I204"/>
      <c r="J204" s="17"/>
      <c r="K204"/>
    </row>
    <row r="205" spans="1:11" x14ac:dyDescent="0.3">
      <c r="A205"/>
      <c r="C205" s="3"/>
      <c r="E205" s="1"/>
      <c r="G205"/>
      <c r="I205"/>
      <c r="J205" s="17"/>
      <c r="K205"/>
    </row>
    <row r="206" spans="1:11" x14ac:dyDescent="0.3">
      <c r="A206"/>
      <c r="C206" s="3"/>
      <c r="E206" s="1"/>
      <c r="G206"/>
      <c r="I206"/>
      <c r="J206" s="17"/>
      <c r="K206"/>
    </row>
    <row r="207" spans="1:11" x14ac:dyDescent="0.3">
      <c r="A207"/>
      <c r="C207" s="3"/>
      <c r="E207" s="1"/>
      <c r="G207"/>
      <c r="I207"/>
      <c r="J207" s="17"/>
      <c r="K207"/>
    </row>
    <row r="208" spans="1:11" x14ac:dyDescent="0.3">
      <c r="A208"/>
      <c r="C208" s="3"/>
      <c r="E208" s="1"/>
      <c r="G208"/>
      <c r="I208"/>
      <c r="J208" s="17"/>
      <c r="K208"/>
    </row>
    <row r="209" spans="1:11" x14ac:dyDescent="0.3">
      <c r="A209"/>
      <c r="C209" s="3"/>
      <c r="E209" s="1"/>
      <c r="G209"/>
      <c r="I209"/>
      <c r="J209" s="17"/>
      <c r="K209"/>
    </row>
    <row r="210" spans="1:11" x14ac:dyDescent="0.3">
      <c r="A210"/>
      <c r="C210" s="3"/>
      <c r="E210" s="1"/>
      <c r="G210"/>
      <c r="I210"/>
      <c r="J210" s="17"/>
      <c r="K210"/>
    </row>
    <row r="211" spans="1:11" x14ac:dyDescent="0.3">
      <c r="A211"/>
      <c r="C211" s="3"/>
      <c r="E211" s="1"/>
      <c r="G211"/>
      <c r="I211"/>
      <c r="J211" s="17"/>
      <c r="K211"/>
    </row>
    <row r="212" spans="1:11" x14ac:dyDescent="0.3">
      <c r="A212"/>
      <c r="C212" s="3"/>
      <c r="E212" s="1"/>
      <c r="G212"/>
      <c r="I212"/>
      <c r="J212" s="17"/>
      <c r="K212"/>
    </row>
    <row r="213" spans="1:11" x14ac:dyDescent="0.3">
      <c r="A213"/>
      <c r="C213" s="3"/>
      <c r="E213" s="1"/>
      <c r="G213"/>
      <c r="I213"/>
      <c r="J213" s="17"/>
      <c r="K213"/>
    </row>
    <row r="214" spans="1:11" x14ac:dyDescent="0.3">
      <c r="A214"/>
      <c r="C214" s="3"/>
      <c r="E214" s="1"/>
      <c r="G214"/>
      <c r="I214"/>
      <c r="J214" s="17"/>
      <c r="K214"/>
    </row>
    <row r="215" spans="1:11" x14ac:dyDescent="0.3">
      <c r="A215"/>
      <c r="C215" s="3"/>
      <c r="E215" s="1"/>
      <c r="G215"/>
      <c r="I215"/>
      <c r="J215" s="17"/>
      <c r="K215"/>
    </row>
    <row r="216" spans="1:11" x14ac:dyDescent="0.3">
      <c r="A216"/>
      <c r="C216" s="3"/>
      <c r="E216" s="1"/>
      <c r="G216"/>
      <c r="I216"/>
      <c r="J216" s="17"/>
      <c r="K216"/>
    </row>
    <row r="217" spans="1:11" x14ac:dyDescent="0.3">
      <c r="A217"/>
      <c r="C217" s="3"/>
      <c r="E217" s="1"/>
      <c r="G217"/>
      <c r="I217"/>
      <c r="J217" s="17"/>
      <c r="K217"/>
    </row>
    <row r="218" spans="1:11" x14ac:dyDescent="0.3">
      <c r="A218"/>
      <c r="C218" s="3"/>
      <c r="E218" s="1"/>
      <c r="G218"/>
      <c r="I218"/>
      <c r="J218" s="17"/>
      <c r="K218"/>
    </row>
    <row r="219" spans="1:11" x14ac:dyDescent="0.3">
      <c r="A219"/>
      <c r="C219" s="3"/>
      <c r="E219" s="1"/>
      <c r="G219"/>
      <c r="I219"/>
      <c r="J219" s="17"/>
      <c r="K219"/>
    </row>
    <row r="220" spans="1:11" x14ac:dyDescent="0.3">
      <c r="A220"/>
      <c r="C220" s="3"/>
      <c r="E220" s="1"/>
      <c r="G220"/>
      <c r="I220"/>
      <c r="J220" s="17"/>
      <c r="K220"/>
    </row>
    <row r="221" spans="1:11" x14ac:dyDescent="0.3">
      <c r="A221"/>
      <c r="C221" s="3"/>
      <c r="E221" s="1"/>
      <c r="G221"/>
      <c r="I221"/>
      <c r="J221" s="17"/>
      <c r="K221"/>
    </row>
    <row r="222" spans="1:11" x14ac:dyDescent="0.3">
      <c r="A222"/>
      <c r="C222" s="3"/>
      <c r="E222" s="1"/>
      <c r="G222"/>
      <c r="I222"/>
      <c r="J222" s="17"/>
      <c r="K222"/>
    </row>
    <row r="223" spans="1:11" x14ac:dyDescent="0.3">
      <c r="A223"/>
      <c r="C223" s="3"/>
      <c r="E223" s="1"/>
      <c r="G223"/>
      <c r="I223"/>
      <c r="J223" s="17"/>
      <c r="K223"/>
    </row>
    <row r="224" spans="1:11" x14ac:dyDescent="0.3">
      <c r="A224"/>
      <c r="C224" s="3"/>
      <c r="E224" s="1"/>
      <c r="G224"/>
      <c r="I224"/>
      <c r="J224" s="17"/>
      <c r="K224"/>
    </row>
    <row r="225" spans="1:11" x14ac:dyDescent="0.3">
      <c r="A225"/>
      <c r="C225" s="3"/>
      <c r="E225" s="1"/>
      <c r="G225"/>
      <c r="I225"/>
      <c r="J225" s="17"/>
      <c r="K225"/>
    </row>
    <row r="226" spans="1:11" x14ac:dyDescent="0.3">
      <c r="A226"/>
      <c r="C226" s="3"/>
      <c r="E226" s="1"/>
      <c r="G226"/>
      <c r="I226"/>
      <c r="J226" s="17"/>
      <c r="K226"/>
    </row>
    <row r="227" spans="1:11" x14ac:dyDescent="0.3">
      <c r="A227"/>
      <c r="C227" s="3"/>
      <c r="E227" s="1"/>
      <c r="G227"/>
      <c r="I227"/>
      <c r="J227" s="17"/>
      <c r="K227"/>
    </row>
    <row r="228" spans="1:11" x14ac:dyDescent="0.3">
      <c r="A228"/>
      <c r="C228" s="3"/>
      <c r="E228" s="1"/>
      <c r="G228"/>
      <c r="I228"/>
      <c r="J228" s="17"/>
      <c r="K228"/>
    </row>
    <row r="229" spans="1:11" x14ac:dyDescent="0.3">
      <c r="A229"/>
      <c r="C229" s="3"/>
      <c r="E229" s="1"/>
      <c r="G229"/>
      <c r="I229"/>
      <c r="J229" s="17"/>
      <c r="K229"/>
    </row>
    <row r="230" spans="1:11" x14ac:dyDescent="0.3">
      <c r="A230"/>
      <c r="C230" s="3"/>
      <c r="E230" s="1"/>
      <c r="G230"/>
      <c r="I230"/>
      <c r="J230" s="17"/>
      <c r="K230"/>
    </row>
    <row r="231" spans="1:11" x14ac:dyDescent="0.3">
      <c r="A231"/>
      <c r="C231" s="3"/>
      <c r="E231" s="1"/>
      <c r="G231"/>
      <c r="I231"/>
      <c r="J231" s="17"/>
      <c r="K231"/>
    </row>
    <row r="232" spans="1:11" x14ac:dyDescent="0.3">
      <c r="A232"/>
      <c r="C232" s="3"/>
      <c r="E232" s="1"/>
      <c r="G232"/>
      <c r="I232"/>
      <c r="J232" s="17"/>
      <c r="K232"/>
    </row>
    <row r="233" spans="1:11" x14ac:dyDescent="0.3">
      <c r="A233"/>
      <c r="C233" s="3"/>
      <c r="E233" s="1"/>
      <c r="G233"/>
      <c r="I233"/>
      <c r="J233" s="17"/>
      <c r="K233"/>
    </row>
    <row r="234" spans="1:11" x14ac:dyDescent="0.3">
      <c r="A234"/>
      <c r="C234" s="3"/>
      <c r="E234" s="1"/>
      <c r="G234"/>
      <c r="I234"/>
      <c r="J234" s="17"/>
      <c r="K234"/>
    </row>
    <row r="235" spans="1:11" x14ac:dyDescent="0.3">
      <c r="A235"/>
      <c r="C235" s="3"/>
      <c r="E235" s="1"/>
      <c r="G235"/>
      <c r="I235"/>
      <c r="J235" s="17"/>
      <c r="K235"/>
    </row>
    <row r="236" spans="1:11" x14ac:dyDescent="0.3">
      <c r="A236"/>
      <c r="C236" s="3"/>
      <c r="E236" s="1"/>
      <c r="G236"/>
      <c r="I236"/>
      <c r="J236" s="17"/>
      <c r="K236"/>
    </row>
    <row r="237" spans="1:11" x14ac:dyDescent="0.3">
      <c r="A237"/>
      <c r="C237" s="3"/>
      <c r="E237" s="1"/>
      <c r="G237"/>
      <c r="I237"/>
      <c r="J237" s="17"/>
      <c r="K237"/>
    </row>
    <row r="238" spans="1:11" x14ac:dyDescent="0.3">
      <c r="A238"/>
      <c r="C238" s="3"/>
      <c r="E238" s="1"/>
      <c r="G238"/>
      <c r="I238"/>
      <c r="J238" s="17"/>
      <c r="K238"/>
    </row>
    <row r="239" spans="1:11" x14ac:dyDescent="0.3">
      <c r="A239"/>
      <c r="C239" s="3"/>
      <c r="E239" s="1"/>
      <c r="G239"/>
      <c r="I239"/>
      <c r="J239" s="17"/>
      <c r="K239"/>
    </row>
    <row r="240" spans="1:11" x14ac:dyDescent="0.3">
      <c r="A240"/>
      <c r="C240" s="3"/>
      <c r="E240" s="1"/>
      <c r="G240"/>
      <c r="I240"/>
      <c r="J240" s="17"/>
      <c r="K240"/>
    </row>
    <row r="241" spans="1:11" x14ac:dyDescent="0.3">
      <c r="A241"/>
      <c r="C241" s="3"/>
      <c r="E241" s="1"/>
      <c r="G241"/>
      <c r="I241"/>
      <c r="J241" s="17"/>
      <c r="K241"/>
    </row>
    <row r="242" spans="1:11" x14ac:dyDescent="0.3">
      <c r="A242"/>
      <c r="C242" s="3"/>
      <c r="E242" s="1"/>
      <c r="G242"/>
      <c r="I242"/>
      <c r="J242" s="17"/>
      <c r="K242"/>
    </row>
    <row r="243" spans="1:11" x14ac:dyDescent="0.3">
      <c r="A243"/>
      <c r="C243" s="3"/>
      <c r="E243" s="1"/>
      <c r="G243"/>
      <c r="I243"/>
      <c r="J243" s="17"/>
      <c r="K243"/>
    </row>
    <row r="244" spans="1:11" x14ac:dyDescent="0.3">
      <c r="A244"/>
      <c r="C244" s="3"/>
      <c r="E244" s="1"/>
      <c r="G244"/>
      <c r="I244"/>
      <c r="J244" s="17"/>
      <c r="K244"/>
    </row>
    <row r="245" spans="1:11" x14ac:dyDescent="0.3">
      <c r="A245"/>
      <c r="C245" s="3"/>
      <c r="E245" s="1"/>
      <c r="G245"/>
      <c r="I245"/>
      <c r="J245" s="17"/>
      <c r="K245"/>
    </row>
    <row r="246" spans="1:11" x14ac:dyDescent="0.3">
      <c r="A246"/>
      <c r="C246" s="3"/>
      <c r="E246" s="1"/>
      <c r="G246"/>
      <c r="I246"/>
      <c r="J246" s="17"/>
      <c r="K246"/>
    </row>
    <row r="247" spans="1:11" ht="15" customHeight="1" x14ac:dyDescent="0.3">
      <c r="A247"/>
      <c r="C247" s="3"/>
      <c r="E247" s="1"/>
      <c r="G247"/>
      <c r="I247"/>
      <c r="J247" s="17"/>
      <c r="K247"/>
    </row>
    <row r="248" spans="1:11" x14ac:dyDescent="0.3">
      <c r="A248"/>
      <c r="C248" s="3"/>
      <c r="E248" s="1"/>
      <c r="G248"/>
      <c r="I248"/>
      <c r="J248" s="17"/>
      <c r="K248"/>
    </row>
    <row r="249" spans="1:11" x14ac:dyDescent="0.3">
      <c r="A249"/>
      <c r="C249" s="3"/>
      <c r="E249" s="1"/>
      <c r="G249"/>
      <c r="I249"/>
      <c r="J249" s="17"/>
      <c r="K249"/>
    </row>
    <row r="250" spans="1:11" x14ac:dyDescent="0.3">
      <c r="A250"/>
      <c r="C250" s="3"/>
      <c r="E250" s="1"/>
      <c r="G250"/>
      <c r="I250"/>
      <c r="J250" s="17"/>
      <c r="K250"/>
    </row>
    <row r="251" spans="1:11" x14ac:dyDescent="0.3">
      <c r="A251"/>
      <c r="C251" s="3"/>
      <c r="E251" s="1"/>
      <c r="G251"/>
      <c r="I251"/>
      <c r="J251" s="17"/>
      <c r="K251"/>
    </row>
    <row r="252" spans="1:11" x14ac:dyDescent="0.3">
      <c r="A252"/>
      <c r="C252" s="3"/>
      <c r="E252" s="1"/>
      <c r="G252"/>
      <c r="I252"/>
      <c r="J252" s="17"/>
      <c r="K252"/>
    </row>
    <row r="253" spans="1:11" x14ac:dyDescent="0.3">
      <c r="A253"/>
      <c r="C253" s="3"/>
      <c r="E253" s="1"/>
      <c r="G253"/>
      <c r="I253"/>
      <c r="J253" s="17"/>
      <c r="K253"/>
    </row>
    <row r="254" spans="1:11" x14ac:dyDescent="0.3">
      <c r="A254"/>
      <c r="C254" s="3"/>
      <c r="E254" s="1"/>
      <c r="G254"/>
      <c r="I254"/>
      <c r="J254" s="17"/>
      <c r="K254"/>
    </row>
    <row r="255" spans="1:11" x14ac:dyDescent="0.3">
      <c r="A255"/>
      <c r="C255" s="3"/>
      <c r="E255" s="1"/>
      <c r="G255"/>
      <c r="I255"/>
      <c r="J255" s="17"/>
      <c r="K255"/>
    </row>
    <row r="256" spans="1:11" x14ac:dyDescent="0.3">
      <c r="A256"/>
      <c r="C256" s="3"/>
      <c r="E256" s="1"/>
      <c r="G256"/>
      <c r="I256"/>
      <c r="J256" s="17"/>
      <c r="K256"/>
    </row>
    <row r="257" spans="1:11" x14ac:dyDescent="0.3">
      <c r="A257"/>
      <c r="C257" s="3"/>
      <c r="E257" s="1"/>
      <c r="G257"/>
      <c r="I257"/>
      <c r="J257" s="17"/>
      <c r="K257"/>
    </row>
    <row r="258" spans="1:11" x14ac:dyDescent="0.3">
      <c r="A258"/>
      <c r="C258" s="3"/>
      <c r="E258" s="1"/>
      <c r="G258"/>
      <c r="I258"/>
      <c r="J258" s="17"/>
      <c r="K258"/>
    </row>
    <row r="259" spans="1:11" x14ac:dyDescent="0.3">
      <c r="A259"/>
      <c r="C259" s="3"/>
      <c r="E259" s="1"/>
      <c r="G259"/>
      <c r="I259"/>
      <c r="J259" s="17"/>
      <c r="K259"/>
    </row>
    <row r="260" spans="1:11" x14ac:dyDescent="0.3">
      <c r="A260"/>
      <c r="C260" s="3"/>
      <c r="E260" s="1"/>
      <c r="G260"/>
      <c r="I260"/>
      <c r="J260" s="17"/>
      <c r="K260"/>
    </row>
    <row r="261" spans="1:11" x14ac:dyDescent="0.3">
      <c r="A261"/>
      <c r="C261" s="3"/>
      <c r="E261" s="1"/>
      <c r="G261"/>
      <c r="I261"/>
      <c r="J261" s="17"/>
      <c r="K261"/>
    </row>
    <row r="262" spans="1:11" x14ac:dyDescent="0.3">
      <c r="A262"/>
      <c r="C262" s="3"/>
      <c r="E262" s="1"/>
      <c r="G262"/>
      <c r="I262"/>
      <c r="J262" s="17"/>
      <c r="K262"/>
    </row>
    <row r="263" spans="1:11" ht="15" customHeight="1" x14ac:dyDescent="0.3">
      <c r="A263"/>
      <c r="C263" s="3"/>
      <c r="E263" s="1"/>
      <c r="G263"/>
      <c r="I263"/>
      <c r="J263" s="17"/>
      <c r="K263"/>
    </row>
    <row r="264" spans="1:11" x14ac:dyDescent="0.3">
      <c r="A264"/>
      <c r="C264" s="3"/>
      <c r="E264" s="1"/>
      <c r="G264"/>
      <c r="I264"/>
      <c r="J264" s="17"/>
      <c r="K264"/>
    </row>
    <row r="265" spans="1:11" x14ac:dyDescent="0.3">
      <c r="A265"/>
      <c r="C265" s="3"/>
      <c r="E265" s="1"/>
      <c r="G265"/>
      <c r="I265"/>
      <c r="J265" s="17"/>
      <c r="K265"/>
    </row>
    <row r="266" spans="1:11" x14ac:dyDescent="0.3">
      <c r="A266"/>
      <c r="C266" s="3"/>
      <c r="E266" s="1"/>
      <c r="G266"/>
      <c r="I266"/>
      <c r="J266" s="17"/>
      <c r="K266"/>
    </row>
    <row r="267" spans="1:11" x14ac:dyDescent="0.3">
      <c r="A267"/>
      <c r="C267" s="3"/>
      <c r="E267" s="1"/>
      <c r="G267"/>
      <c r="I267"/>
      <c r="J267" s="17"/>
      <c r="K267"/>
    </row>
    <row r="268" spans="1:11" x14ac:dyDescent="0.3">
      <c r="A268"/>
      <c r="C268" s="3"/>
      <c r="E268" s="1"/>
      <c r="G268"/>
      <c r="I268"/>
      <c r="J268" s="17"/>
      <c r="K268"/>
    </row>
    <row r="269" spans="1:11" x14ac:dyDescent="0.3">
      <c r="A269"/>
      <c r="C269" s="3"/>
      <c r="E269" s="1"/>
      <c r="G269"/>
      <c r="I269"/>
      <c r="J269" s="17"/>
      <c r="K269"/>
    </row>
    <row r="270" spans="1:11" x14ac:dyDescent="0.3">
      <c r="A270"/>
      <c r="C270" s="3"/>
      <c r="E270" s="1"/>
      <c r="G270"/>
      <c r="I270"/>
      <c r="J270" s="17"/>
      <c r="K270"/>
    </row>
    <row r="271" spans="1:11" x14ac:dyDescent="0.3">
      <c r="A271"/>
      <c r="C271" s="3"/>
      <c r="E271" s="1"/>
      <c r="G271"/>
      <c r="I271"/>
      <c r="J271" s="17"/>
      <c r="K271"/>
    </row>
    <row r="272" spans="1:11" x14ac:dyDescent="0.3">
      <c r="A272"/>
      <c r="C272" s="3"/>
      <c r="E272" s="1"/>
      <c r="G272"/>
      <c r="I272"/>
      <c r="J272" s="17"/>
      <c r="K272"/>
    </row>
    <row r="273" spans="1:11" x14ac:dyDescent="0.3">
      <c r="A273"/>
      <c r="C273" s="3"/>
      <c r="E273" s="1"/>
      <c r="G273"/>
      <c r="I273"/>
      <c r="J273" s="17"/>
      <c r="K273"/>
    </row>
    <row r="274" spans="1:11" x14ac:dyDescent="0.3">
      <c r="A274"/>
      <c r="C274" s="3"/>
      <c r="E274" s="1"/>
      <c r="G274"/>
      <c r="I274"/>
      <c r="J274" s="17"/>
      <c r="K274"/>
    </row>
    <row r="275" spans="1:11" x14ac:dyDescent="0.3">
      <c r="A275"/>
      <c r="C275" s="3"/>
      <c r="E275" s="1"/>
      <c r="G275"/>
      <c r="I275"/>
      <c r="J275" s="17"/>
      <c r="K275"/>
    </row>
    <row r="276" spans="1:11" x14ac:dyDescent="0.3">
      <c r="A276"/>
      <c r="C276" s="3"/>
      <c r="E276" s="1"/>
      <c r="G276"/>
      <c r="I276"/>
      <c r="J276" s="17"/>
      <c r="K276"/>
    </row>
    <row r="277" spans="1:11" x14ac:dyDescent="0.3">
      <c r="A277"/>
      <c r="C277" s="3"/>
      <c r="E277" s="1"/>
      <c r="G277"/>
      <c r="I277"/>
      <c r="J277" s="17"/>
      <c r="K277"/>
    </row>
  </sheetData>
  <mergeCells count="90">
    <mergeCell ref="M114:M128"/>
    <mergeCell ref="N114:N128"/>
    <mergeCell ref="M41:M72"/>
    <mergeCell ref="M150:M164"/>
    <mergeCell ref="N150:N164"/>
    <mergeCell ref="N167:N168"/>
    <mergeCell ref="M167:M168"/>
    <mergeCell ref="M131:M147"/>
    <mergeCell ref="N131:N147"/>
    <mergeCell ref="L167:L168"/>
    <mergeCell ref="L75:L105"/>
    <mergeCell ref="L108:L111"/>
    <mergeCell ref="L114:L128"/>
    <mergeCell ref="L131:L147"/>
    <mergeCell ref="L150:L164"/>
    <mergeCell ref="D115:D117"/>
    <mergeCell ref="D118:D119"/>
    <mergeCell ref="D120:D121"/>
    <mergeCell ref="D122:D123"/>
    <mergeCell ref="D124:D127"/>
    <mergeCell ref="A150:A163"/>
    <mergeCell ref="D135:D137"/>
    <mergeCell ref="D138:D142"/>
    <mergeCell ref="D143:D144"/>
    <mergeCell ref="D155:D163"/>
    <mergeCell ref="D151:D152"/>
    <mergeCell ref="C115:C128"/>
    <mergeCell ref="A114:A128"/>
    <mergeCell ref="A131:A147"/>
    <mergeCell ref="M18:M38"/>
    <mergeCell ref="N18:N38"/>
    <mergeCell ref="L19:L22"/>
    <mergeCell ref="D19:D25"/>
    <mergeCell ref="A108:A111"/>
    <mergeCell ref="C109:C111"/>
    <mergeCell ref="J42:J46"/>
    <mergeCell ref="M75:M105"/>
    <mergeCell ref="N41:N72"/>
    <mergeCell ref="N75:N105"/>
    <mergeCell ref="M108:M111"/>
    <mergeCell ref="N108:N111"/>
    <mergeCell ref="C76:C105"/>
    <mergeCell ref="A75:A105"/>
    <mergeCell ref="D85:D88"/>
    <mergeCell ref="D89:D102"/>
    <mergeCell ref="D103:D105"/>
    <mergeCell ref="D78:D81"/>
    <mergeCell ref="D83:D84"/>
    <mergeCell ref="E103:E105"/>
    <mergeCell ref="G27:G28"/>
    <mergeCell ref="H27:H28"/>
    <mergeCell ref="I27:I28"/>
    <mergeCell ref="F29:F37"/>
    <mergeCell ref="G52:G53"/>
    <mergeCell ref="H52:H53"/>
    <mergeCell ref="I52:I53"/>
    <mergeCell ref="Q3:Q15"/>
    <mergeCell ref="A3:A15"/>
    <mergeCell ref="L3:L15"/>
    <mergeCell ref="M3:M15"/>
    <mergeCell ref="N3:N15"/>
    <mergeCell ref="B3:B15"/>
    <mergeCell ref="P3:P15"/>
    <mergeCell ref="D55:D68"/>
    <mergeCell ref="C42:C72"/>
    <mergeCell ref="A41:A72"/>
    <mergeCell ref="A18:A38"/>
    <mergeCell ref="C19:C38"/>
    <mergeCell ref="D47:D50"/>
    <mergeCell ref="D52:D53"/>
    <mergeCell ref="D71:D72"/>
    <mergeCell ref="D42:D46"/>
    <mergeCell ref="D27:D28"/>
    <mergeCell ref="D29:D37"/>
    <mergeCell ref="G1:J1"/>
    <mergeCell ref="J19:J25"/>
    <mergeCell ref="F151:F152"/>
    <mergeCell ref="F115:F117"/>
    <mergeCell ref="J151:J152"/>
    <mergeCell ref="J47:J50"/>
    <mergeCell ref="J78:J81"/>
    <mergeCell ref="J115:J117"/>
    <mergeCell ref="J118:J119"/>
    <mergeCell ref="G115:G117"/>
    <mergeCell ref="H115:H117"/>
    <mergeCell ref="I115:I117"/>
    <mergeCell ref="F118:F119"/>
    <mergeCell ref="F55:F68"/>
    <mergeCell ref="F52:F53"/>
    <mergeCell ref="F27:F28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Feuil4"/>
  <dimension ref="A1:L239"/>
  <sheetViews>
    <sheetView zoomScale="85" zoomScaleNormal="85" workbookViewId="0">
      <selection activeCell="E4" sqref="E4:E8"/>
    </sheetView>
  </sheetViews>
  <sheetFormatPr baseColWidth="10" defaultColWidth="11.44140625" defaultRowHeight="14.4" x14ac:dyDescent="0.3"/>
  <cols>
    <col min="1" max="1" width="33.44140625" style="29" customWidth="1"/>
    <col min="2" max="2" width="81.44140625" bestFit="1" customWidth="1"/>
    <col min="3" max="3" width="27.6640625" style="50" customWidth="1"/>
    <col min="4" max="4" width="35.88671875" bestFit="1" customWidth="1"/>
    <col min="5" max="5" width="13.44140625" style="3" bestFit="1" customWidth="1"/>
    <col min="6" max="6" width="34.44140625" style="1" bestFit="1" customWidth="1"/>
    <col min="7" max="7" width="36" bestFit="1" customWidth="1"/>
    <col min="8" max="8" width="20.109375" bestFit="1" customWidth="1"/>
    <col min="9" max="9" width="20.44140625" bestFit="1" customWidth="1"/>
    <col min="10" max="10" width="45.109375" customWidth="1"/>
    <col min="11" max="11" width="45.109375" bestFit="1" customWidth="1"/>
    <col min="12" max="12" width="16" customWidth="1"/>
  </cols>
  <sheetData>
    <row r="1" spans="1:12" x14ac:dyDescent="0.3">
      <c r="A1" s="31" t="s">
        <v>4</v>
      </c>
      <c r="B1" s="30" t="s">
        <v>5</v>
      </c>
      <c r="C1" s="32" t="s">
        <v>7</v>
      </c>
      <c r="D1" s="30" t="s">
        <v>8</v>
      </c>
      <c r="E1" s="30" t="s">
        <v>9</v>
      </c>
      <c r="F1" s="30" t="s">
        <v>10</v>
      </c>
      <c r="G1" s="30" t="s">
        <v>11</v>
      </c>
      <c r="H1" s="30" t="s">
        <v>12</v>
      </c>
      <c r="I1" s="30" t="s">
        <v>13</v>
      </c>
      <c r="J1" s="30" t="s">
        <v>15</v>
      </c>
      <c r="K1" s="30" t="s">
        <v>16</v>
      </c>
      <c r="L1" s="30" t="s">
        <v>17</v>
      </c>
    </row>
    <row r="2" spans="1:12" x14ac:dyDescent="0.3">
      <c r="A2" s="31"/>
      <c r="B2" s="30"/>
      <c r="C2" s="49"/>
      <c r="D2" s="34"/>
      <c r="E2" s="33"/>
      <c r="F2" s="35"/>
      <c r="G2" s="34"/>
      <c r="H2" s="34"/>
      <c r="I2" s="34"/>
      <c r="J2" s="34"/>
      <c r="K2" s="34"/>
      <c r="L2" s="34"/>
    </row>
    <row r="3" spans="1:12" ht="15" customHeight="1" thickBot="1" x14ac:dyDescent="0.35"/>
    <row r="4" spans="1:12" ht="15.75" customHeight="1" x14ac:dyDescent="0.3">
      <c r="A4" s="1071" t="s">
        <v>25</v>
      </c>
      <c r="B4" s="1025" t="s">
        <v>26</v>
      </c>
      <c r="C4" s="1141" t="s">
        <v>420</v>
      </c>
      <c r="D4" s="289" t="s">
        <v>234</v>
      </c>
      <c r="E4" s="125">
        <f>SUM(E5:E8)</f>
        <v>9.4309999999999992</v>
      </c>
      <c r="F4" s="1043"/>
      <c r="G4" s="1007" t="s">
        <v>421</v>
      </c>
      <c r="H4" s="1007" t="s">
        <v>28</v>
      </c>
      <c r="I4" s="1019" t="s">
        <v>29</v>
      </c>
      <c r="J4" s="665"/>
      <c r="K4" s="1136">
        <v>176</v>
      </c>
      <c r="L4" s="1136" t="s">
        <v>30</v>
      </c>
    </row>
    <row r="5" spans="1:12" x14ac:dyDescent="0.3">
      <c r="A5" s="1113"/>
      <c r="B5" s="1026"/>
      <c r="C5" s="1129"/>
      <c r="D5" s="281" t="s">
        <v>47</v>
      </c>
      <c r="E5" s="71">
        <f>SUM(E16)</f>
        <v>8.0000000000000002E-3</v>
      </c>
      <c r="F5" s="985"/>
      <c r="G5" s="1008"/>
      <c r="H5" s="1008"/>
      <c r="I5" s="1020"/>
      <c r="J5" s="336"/>
      <c r="K5" s="1137"/>
      <c r="L5" s="1137"/>
    </row>
    <row r="6" spans="1:12" x14ac:dyDescent="0.3">
      <c r="A6" s="1113"/>
      <c r="B6" s="1026"/>
      <c r="C6" s="1129"/>
      <c r="D6" s="62" t="s">
        <v>250</v>
      </c>
      <c r="E6" s="64">
        <f>SUM(E12,E14)</f>
        <v>8.4390000000000001</v>
      </c>
      <c r="F6" s="985"/>
      <c r="G6" s="1008"/>
      <c r="H6" s="1008"/>
      <c r="I6" s="1020"/>
      <c r="J6" s="336"/>
      <c r="K6" s="1137"/>
      <c r="L6" s="1137"/>
    </row>
    <row r="7" spans="1:12" x14ac:dyDescent="0.3">
      <c r="A7" s="1113"/>
      <c r="B7" s="1026"/>
      <c r="C7" s="1129"/>
      <c r="D7" s="63" t="s">
        <v>36</v>
      </c>
      <c r="E7" s="65">
        <f>SUM(E13,E15)</f>
        <v>0.48799999999999999</v>
      </c>
      <c r="F7" s="985"/>
      <c r="G7" s="1008"/>
      <c r="H7" s="1008"/>
      <c r="I7" s="1020"/>
      <c r="J7" s="336"/>
      <c r="K7" s="1137"/>
      <c r="L7" s="1137"/>
    </row>
    <row r="8" spans="1:12" x14ac:dyDescent="0.3">
      <c r="A8" s="1113"/>
      <c r="B8" s="1026"/>
      <c r="C8" s="1129"/>
      <c r="D8" s="398" t="s">
        <v>253</v>
      </c>
      <c r="E8" s="172">
        <f>SUM(E17:E20)</f>
        <v>0.49600000000000005</v>
      </c>
      <c r="F8" s="985"/>
      <c r="G8" s="1008"/>
      <c r="H8" s="1008"/>
      <c r="I8" s="1020"/>
      <c r="J8" s="336"/>
      <c r="K8" s="1137"/>
      <c r="L8" s="1137"/>
    </row>
    <row r="9" spans="1:12" ht="15" thickBot="1" x14ac:dyDescent="0.35">
      <c r="A9" s="1072"/>
      <c r="B9" s="1027"/>
      <c r="C9" s="1130"/>
      <c r="D9" s="52"/>
      <c r="E9" s="53"/>
      <c r="F9" s="1044"/>
      <c r="G9" s="1009"/>
      <c r="H9" s="1009"/>
      <c r="I9" s="1021"/>
      <c r="J9" s="107"/>
      <c r="K9" s="1138"/>
      <c r="L9" s="1138"/>
    </row>
    <row r="10" spans="1:12" ht="15" thickBot="1" x14ac:dyDescent="0.35">
      <c r="A10"/>
      <c r="C10" s="3"/>
      <c r="E10" s="1"/>
      <c r="F10"/>
      <c r="J10" s="128"/>
    </row>
    <row r="11" spans="1:12" x14ac:dyDescent="0.3">
      <c r="A11" s="1101" t="s">
        <v>300</v>
      </c>
      <c r="B11" s="37" t="s">
        <v>682</v>
      </c>
      <c r="C11" s="44"/>
      <c r="D11" s="45" t="s">
        <v>532</v>
      </c>
      <c r="E11" s="47">
        <f>SUM(E12:E20)</f>
        <v>9.4309999999999974</v>
      </c>
      <c r="F11" s="5"/>
      <c r="G11" s="38"/>
      <c r="H11" s="5"/>
      <c r="I11" s="5"/>
      <c r="K11" s="5"/>
      <c r="L11" s="6"/>
    </row>
    <row r="12" spans="1:12" x14ac:dyDescent="0.3">
      <c r="A12" s="1102"/>
      <c r="B12" s="1140" t="s">
        <v>683</v>
      </c>
      <c r="C12" s="1099" t="s">
        <v>420</v>
      </c>
      <c r="D12" s="60" t="s">
        <v>250</v>
      </c>
      <c r="E12" s="61">
        <v>7.5620000000000003</v>
      </c>
      <c r="F12" s="3"/>
      <c r="G12" s="3"/>
      <c r="L12" s="8"/>
    </row>
    <row r="13" spans="1:12" x14ac:dyDescent="0.3">
      <c r="A13" s="1102"/>
      <c r="B13" s="1140"/>
      <c r="C13" s="1099"/>
      <c r="D13" s="58" t="s">
        <v>36</v>
      </c>
      <c r="E13" s="59">
        <v>0.33800000000000002</v>
      </c>
      <c r="F13" s="3"/>
      <c r="G13" s="3"/>
      <c r="L13" s="8"/>
    </row>
    <row r="14" spans="1:12" x14ac:dyDescent="0.3">
      <c r="A14" s="1102"/>
      <c r="B14" s="1140" t="s">
        <v>684</v>
      </c>
      <c r="C14" s="1099"/>
      <c r="D14" s="60" t="s">
        <v>250</v>
      </c>
      <c r="E14" s="61">
        <v>0.877</v>
      </c>
      <c r="F14" s="3"/>
      <c r="G14" s="3"/>
      <c r="L14" s="8"/>
    </row>
    <row r="15" spans="1:12" x14ac:dyDescent="0.3">
      <c r="A15" s="1102"/>
      <c r="B15" s="1140"/>
      <c r="C15" s="1099"/>
      <c r="D15" s="58" t="s">
        <v>36</v>
      </c>
      <c r="E15" s="59">
        <v>0.15</v>
      </c>
      <c r="F15" s="3"/>
      <c r="G15" s="3"/>
      <c r="L15" s="8"/>
    </row>
    <row r="16" spans="1:12" x14ac:dyDescent="0.3">
      <c r="A16" s="1102"/>
      <c r="B16" s="36" t="s">
        <v>685</v>
      </c>
      <c r="C16" s="3"/>
      <c r="D16" s="195" t="s">
        <v>47</v>
      </c>
      <c r="E16" s="280">
        <v>8.0000000000000002E-3</v>
      </c>
      <c r="F16"/>
      <c r="L16" s="8"/>
    </row>
    <row r="17" spans="1:12" x14ac:dyDescent="0.3">
      <c r="A17" s="1102"/>
      <c r="B17" s="36" t="s">
        <v>686</v>
      </c>
      <c r="C17" s="3"/>
      <c r="D17" s="1139" t="s">
        <v>253</v>
      </c>
      <c r="E17" s="397">
        <v>0.39900000000000002</v>
      </c>
      <c r="F17"/>
      <c r="L17" s="8"/>
    </row>
    <row r="18" spans="1:12" x14ac:dyDescent="0.3">
      <c r="A18" s="1102"/>
      <c r="B18" s="36" t="s">
        <v>687</v>
      </c>
      <c r="C18" s="3"/>
      <c r="D18" s="1139"/>
      <c r="E18" s="397">
        <v>8.1000000000000003E-2</v>
      </c>
      <c r="F18"/>
      <c r="L18" s="8"/>
    </row>
    <row r="19" spans="1:12" x14ac:dyDescent="0.3">
      <c r="A19" s="1102"/>
      <c r="B19" s="36" t="s">
        <v>688</v>
      </c>
      <c r="C19" s="3"/>
      <c r="D19" s="1139"/>
      <c r="E19" s="397">
        <v>8.0000000000000002E-3</v>
      </c>
      <c r="F19"/>
      <c r="L19" s="8"/>
    </row>
    <row r="20" spans="1:12" x14ac:dyDescent="0.3">
      <c r="A20" s="1102"/>
      <c r="B20" s="36" t="s">
        <v>689</v>
      </c>
      <c r="C20" s="3"/>
      <c r="D20" s="1139"/>
      <c r="E20" s="397">
        <v>8.0000000000000002E-3</v>
      </c>
      <c r="F20"/>
      <c r="L20" s="8"/>
    </row>
    <row r="21" spans="1:12" ht="15" thickBot="1" x14ac:dyDescent="0.35">
      <c r="A21" s="1103"/>
      <c r="B21" s="9"/>
      <c r="C21" s="41"/>
      <c r="D21" s="9"/>
      <c r="E21" s="11"/>
      <c r="F21" s="9"/>
      <c r="G21" s="9"/>
      <c r="H21" s="9"/>
      <c r="I21" s="9"/>
      <c r="K21" s="9"/>
      <c r="L21" s="10"/>
    </row>
    <row r="22" spans="1:12" x14ac:dyDescent="0.3">
      <c r="A22"/>
      <c r="C22"/>
      <c r="E22"/>
      <c r="F22"/>
      <c r="J22" s="5"/>
    </row>
    <row r="23" spans="1:12" x14ac:dyDescent="0.3">
      <c r="A23"/>
      <c r="C23"/>
      <c r="E23"/>
      <c r="F23"/>
    </row>
    <row r="24" spans="1:12" x14ac:dyDescent="0.3">
      <c r="A24"/>
      <c r="C24"/>
      <c r="E24"/>
      <c r="F24"/>
    </row>
    <row r="25" spans="1:12" x14ac:dyDescent="0.3">
      <c r="A25"/>
      <c r="C25"/>
      <c r="E25"/>
      <c r="F25"/>
    </row>
    <row r="26" spans="1:12" x14ac:dyDescent="0.3">
      <c r="A26"/>
      <c r="C26"/>
      <c r="E26"/>
      <c r="F26"/>
    </row>
    <row r="27" spans="1:12" x14ac:dyDescent="0.3">
      <c r="A27"/>
      <c r="C27"/>
      <c r="E27"/>
      <c r="F27"/>
    </row>
    <row r="28" spans="1:12" x14ac:dyDescent="0.3">
      <c r="A28"/>
      <c r="C28"/>
      <c r="E28"/>
      <c r="F28"/>
    </row>
    <row r="29" spans="1:12" x14ac:dyDescent="0.3">
      <c r="A29"/>
      <c r="C29"/>
      <c r="E29"/>
      <c r="F29"/>
    </row>
    <row r="30" spans="1:12" x14ac:dyDescent="0.3">
      <c r="A30"/>
      <c r="C30"/>
      <c r="E30"/>
      <c r="F30"/>
    </row>
    <row r="31" spans="1:12" x14ac:dyDescent="0.3">
      <c r="A31"/>
      <c r="C31"/>
      <c r="E31"/>
      <c r="F31"/>
    </row>
    <row r="32" spans="1:12" x14ac:dyDescent="0.3">
      <c r="A32"/>
      <c r="C32"/>
      <c r="E32"/>
      <c r="F32"/>
    </row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ht="15" customHeigh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x14ac:dyDescent="0.3"/>
    <row r="65" spans="1:10" x14ac:dyDescent="0.3">
      <c r="A65"/>
      <c r="C65"/>
      <c r="E65"/>
      <c r="F65"/>
    </row>
    <row r="66" spans="1:10" x14ac:dyDescent="0.3">
      <c r="A66"/>
      <c r="C66"/>
      <c r="E66"/>
      <c r="F66"/>
    </row>
    <row r="67" spans="1:10" x14ac:dyDescent="0.3">
      <c r="A67"/>
      <c r="C67"/>
      <c r="E67"/>
      <c r="F67"/>
    </row>
    <row r="68" spans="1:10" x14ac:dyDescent="0.3">
      <c r="A68"/>
      <c r="C68"/>
      <c r="E68"/>
      <c r="F68"/>
    </row>
    <row r="69" spans="1:10" x14ac:dyDescent="0.3">
      <c r="A69"/>
      <c r="C69"/>
      <c r="E69"/>
      <c r="F69"/>
    </row>
    <row r="70" spans="1:10" x14ac:dyDescent="0.3">
      <c r="A70"/>
      <c r="C70"/>
      <c r="E70"/>
      <c r="F70"/>
    </row>
    <row r="71" spans="1:10" x14ac:dyDescent="0.3">
      <c r="A71"/>
      <c r="C71"/>
      <c r="E71"/>
      <c r="F71"/>
    </row>
    <row r="72" spans="1:10" ht="15" customHeight="1" x14ac:dyDescent="0.3">
      <c r="A72"/>
      <c r="C72"/>
      <c r="E72"/>
      <c r="F72"/>
    </row>
    <row r="73" spans="1:10" ht="15" thickBot="1" x14ac:dyDescent="0.35">
      <c r="A73"/>
      <c r="C73"/>
      <c r="E73"/>
      <c r="F73"/>
      <c r="J73" s="9"/>
    </row>
    <row r="74" spans="1:10" x14ac:dyDescent="0.3">
      <c r="A74"/>
      <c r="C74"/>
      <c r="E74"/>
      <c r="F74"/>
    </row>
    <row r="75" spans="1:10" ht="15" thickBot="1" x14ac:dyDescent="0.35">
      <c r="A75"/>
      <c r="C75"/>
      <c r="E75"/>
      <c r="F75"/>
    </row>
    <row r="76" spans="1:10" ht="15" customHeight="1" x14ac:dyDescent="0.3">
      <c r="A76"/>
      <c r="C76"/>
      <c r="E76"/>
      <c r="F76"/>
      <c r="J76" s="5"/>
    </row>
    <row r="77" spans="1:10" x14ac:dyDescent="0.3">
      <c r="A77"/>
      <c r="C77"/>
      <c r="E77"/>
      <c r="F77"/>
    </row>
    <row r="78" spans="1:10" x14ac:dyDescent="0.3">
      <c r="A78"/>
      <c r="C78"/>
      <c r="E78"/>
      <c r="F78"/>
    </row>
    <row r="79" spans="1:10" ht="15" customHeight="1" x14ac:dyDescent="0.3">
      <c r="A79"/>
      <c r="C79"/>
      <c r="E79"/>
      <c r="F79"/>
    </row>
    <row r="80" spans="1:10" x14ac:dyDescent="0.3">
      <c r="A80"/>
      <c r="C80"/>
      <c r="E80"/>
      <c r="F80"/>
    </row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spans="1:10" x14ac:dyDescent="0.3">
      <c r="A97"/>
      <c r="C97"/>
      <c r="E97"/>
      <c r="F97"/>
    </row>
    <row r="98" spans="1:10" x14ac:dyDescent="0.3">
      <c r="A98"/>
      <c r="C98"/>
      <c r="E98"/>
      <c r="F98"/>
    </row>
    <row r="99" spans="1:10" x14ac:dyDescent="0.3">
      <c r="A99"/>
      <c r="C99"/>
      <c r="E99"/>
      <c r="F99"/>
    </row>
    <row r="100" spans="1:10" x14ac:dyDescent="0.3">
      <c r="A100"/>
      <c r="C100"/>
      <c r="E100"/>
      <c r="F100"/>
    </row>
    <row r="101" spans="1:10" x14ac:dyDescent="0.3">
      <c r="A101"/>
      <c r="C101"/>
      <c r="E101"/>
      <c r="F101"/>
    </row>
    <row r="102" spans="1:10" x14ac:dyDescent="0.3">
      <c r="A102"/>
      <c r="C102"/>
      <c r="E102"/>
      <c r="F102"/>
    </row>
    <row r="103" spans="1:10" x14ac:dyDescent="0.3">
      <c r="A103"/>
      <c r="C103"/>
      <c r="E103"/>
      <c r="F103"/>
    </row>
    <row r="104" spans="1:10" x14ac:dyDescent="0.3">
      <c r="A104"/>
      <c r="C104"/>
      <c r="E104"/>
      <c r="F104"/>
    </row>
    <row r="105" spans="1:10" ht="15" thickBot="1" x14ac:dyDescent="0.35">
      <c r="A105"/>
      <c r="C105"/>
      <c r="E105"/>
      <c r="F105"/>
      <c r="J105" s="9"/>
    </row>
    <row r="106" spans="1:10" x14ac:dyDescent="0.3">
      <c r="A106"/>
      <c r="C106"/>
      <c r="E106"/>
      <c r="F106"/>
    </row>
    <row r="107" spans="1:10" ht="15" thickBot="1" x14ac:dyDescent="0.35">
      <c r="A107"/>
      <c r="C107"/>
      <c r="E107"/>
      <c r="F107"/>
    </row>
    <row r="108" spans="1:10" x14ac:dyDescent="0.3">
      <c r="A108"/>
      <c r="C108"/>
      <c r="E108"/>
      <c r="F108"/>
      <c r="J108" s="5"/>
    </row>
    <row r="109" spans="1:10" x14ac:dyDescent="0.3">
      <c r="A109"/>
      <c r="C109"/>
      <c r="E109"/>
      <c r="F109"/>
    </row>
    <row r="110" spans="1:10" x14ac:dyDescent="0.3">
      <c r="A110"/>
      <c r="C110"/>
      <c r="E110"/>
      <c r="F110"/>
    </row>
    <row r="111" spans="1:10" ht="15" thickBot="1" x14ac:dyDescent="0.35">
      <c r="A111"/>
      <c r="C111"/>
      <c r="E111"/>
      <c r="F111"/>
      <c r="J111" s="9"/>
    </row>
    <row r="112" spans="1:10" x14ac:dyDescent="0.3">
      <c r="A112"/>
      <c r="C112"/>
      <c r="E112"/>
      <c r="F112"/>
    </row>
    <row r="113" spans="1:10" ht="15" thickBot="1" x14ac:dyDescent="0.35">
      <c r="A113"/>
      <c r="C113"/>
      <c r="E113"/>
      <c r="F113"/>
    </row>
    <row r="114" spans="1:10" ht="15" customHeight="1" x14ac:dyDescent="0.3">
      <c r="A114"/>
      <c r="C114"/>
      <c r="E114"/>
      <c r="F114"/>
      <c r="J114" s="5"/>
    </row>
    <row r="115" spans="1:10" x14ac:dyDescent="0.3">
      <c r="A115"/>
      <c r="C115"/>
      <c r="E115"/>
      <c r="F115"/>
    </row>
    <row r="116" spans="1:10" x14ac:dyDescent="0.3">
      <c r="A116"/>
      <c r="C116"/>
      <c r="E116"/>
      <c r="F116"/>
    </row>
    <row r="117" spans="1:10" ht="15" customHeight="1" x14ac:dyDescent="0.3">
      <c r="A117"/>
      <c r="C117"/>
      <c r="E117"/>
      <c r="F117"/>
    </row>
    <row r="118" spans="1:10" x14ac:dyDescent="0.3">
      <c r="A118"/>
      <c r="C118"/>
      <c r="E118"/>
      <c r="F118"/>
    </row>
    <row r="119" spans="1:10" x14ac:dyDescent="0.3">
      <c r="A119"/>
      <c r="C119"/>
      <c r="E119"/>
      <c r="F119"/>
    </row>
    <row r="120" spans="1:10" x14ac:dyDescent="0.3">
      <c r="A120"/>
      <c r="C120"/>
      <c r="E120"/>
      <c r="F120"/>
    </row>
    <row r="121" spans="1:10" x14ac:dyDescent="0.3">
      <c r="A121"/>
      <c r="C121"/>
      <c r="E121"/>
      <c r="F121"/>
    </row>
    <row r="122" spans="1:10" ht="15" customHeight="1" x14ac:dyDescent="0.3">
      <c r="A122"/>
      <c r="C122"/>
      <c r="E122"/>
      <c r="F122"/>
    </row>
    <row r="123" spans="1:10" x14ac:dyDescent="0.3">
      <c r="A123"/>
      <c r="C123"/>
      <c r="E123"/>
      <c r="F123"/>
    </row>
    <row r="124" spans="1:10" x14ac:dyDescent="0.3">
      <c r="A124"/>
      <c r="C124"/>
      <c r="E124"/>
      <c r="F124"/>
    </row>
    <row r="125" spans="1:10" x14ac:dyDescent="0.3">
      <c r="A125"/>
      <c r="C125"/>
      <c r="E125"/>
      <c r="F125"/>
    </row>
    <row r="126" spans="1:10" x14ac:dyDescent="0.3">
      <c r="A126"/>
      <c r="C126"/>
      <c r="E126"/>
      <c r="F126"/>
    </row>
    <row r="127" spans="1:10" x14ac:dyDescent="0.3">
      <c r="A127"/>
      <c r="C127"/>
      <c r="E127"/>
      <c r="F127"/>
    </row>
    <row r="128" spans="1:10" ht="15" thickBot="1" x14ac:dyDescent="0.35">
      <c r="A128"/>
      <c r="C128"/>
      <c r="E128"/>
      <c r="F128"/>
      <c r="J128" s="9"/>
    </row>
    <row r="129" spans="1:10" x14ac:dyDescent="0.3">
      <c r="A129"/>
      <c r="C129"/>
      <c r="E129"/>
      <c r="F129"/>
    </row>
    <row r="130" spans="1:10" ht="15" thickBot="1" x14ac:dyDescent="0.35">
      <c r="A130"/>
      <c r="C130"/>
      <c r="E130"/>
      <c r="F130"/>
    </row>
    <row r="131" spans="1:10" x14ac:dyDescent="0.3">
      <c r="A131"/>
      <c r="C131"/>
      <c r="E131"/>
      <c r="F131"/>
      <c r="J131" s="5"/>
    </row>
    <row r="132" spans="1:10" x14ac:dyDescent="0.3">
      <c r="A132"/>
      <c r="C132"/>
      <c r="E132"/>
      <c r="F132"/>
    </row>
    <row r="133" spans="1:10" x14ac:dyDescent="0.3">
      <c r="A133"/>
      <c r="C133"/>
      <c r="E133"/>
      <c r="F133"/>
    </row>
    <row r="134" spans="1:10" x14ac:dyDescent="0.3">
      <c r="A134"/>
      <c r="C134"/>
      <c r="E134"/>
      <c r="F134"/>
    </row>
    <row r="135" spans="1:10" x14ac:dyDescent="0.3">
      <c r="A135"/>
      <c r="C135"/>
      <c r="E135"/>
      <c r="F135"/>
    </row>
    <row r="136" spans="1:10" x14ac:dyDescent="0.3">
      <c r="A136"/>
      <c r="C136"/>
      <c r="E136"/>
      <c r="F136"/>
    </row>
    <row r="137" spans="1:10" x14ac:dyDescent="0.3">
      <c r="A137"/>
      <c r="C137"/>
      <c r="E137"/>
      <c r="F137"/>
    </row>
    <row r="138" spans="1:10" x14ac:dyDescent="0.3">
      <c r="A138"/>
      <c r="C138"/>
      <c r="E138"/>
      <c r="F138"/>
    </row>
    <row r="139" spans="1:10" x14ac:dyDescent="0.3">
      <c r="A139"/>
      <c r="C139"/>
      <c r="E139"/>
      <c r="F139"/>
    </row>
    <row r="140" spans="1:10" x14ac:dyDescent="0.3">
      <c r="A140"/>
      <c r="C140"/>
      <c r="E140"/>
      <c r="F140"/>
    </row>
    <row r="141" spans="1:10" x14ac:dyDescent="0.3">
      <c r="A141"/>
      <c r="C141"/>
      <c r="E141"/>
      <c r="F141"/>
    </row>
    <row r="142" spans="1:10" x14ac:dyDescent="0.3">
      <c r="A142"/>
      <c r="C142"/>
      <c r="E142"/>
      <c r="F142"/>
    </row>
    <row r="143" spans="1:10" x14ac:dyDescent="0.3">
      <c r="A143"/>
      <c r="C143"/>
      <c r="E143"/>
      <c r="F143"/>
    </row>
    <row r="144" spans="1:10" x14ac:dyDescent="0.3">
      <c r="A144"/>
      <c r="C144"/>
      <c r="E144"/>
      <c r="F144"/>
    </row>
    <row r="145" spans="1:10" ht="15" customHeight="1" x14ac:dyDescent="0.3">
      <c r="A145"/>
      <c r="C145"/>
      <c r="E145"/>
      <c r="F145"/>
    </row>
    <row r="146" spans="1:10" x14ac:dyDescent="0.3">
      <c r="A146"/>
      <c r="C146"/>
      <c r="E146"/>
      <c r="F146"/>
    </row>
    <row r="147" spans="1:10" ht="15" thickBot="1" x14ac:dyDescent="0.35">
      <c r="A147"/>
      <c r="C147"/>
      <c r="E147"/>
      <c r="F147"/>
      <c r="J147" s="9"/>
    </row>
    <row r="148" spans="1:10" x14ac:dyDescent="0.3">
      <c r="A148"/>
      <c r="C148"/>
      <c r="E148"/>
      <c r="F148"/>
    </row>
    <row r="149" spans="1:10" ht="15" thickBot="1" x14ac:dyDescent="0.35">
      <c r="A149"/>
      <c r="C149"/>
      <c r="E149"/>
      <c r="F149"/>
    </row>
    <row r="150" spans="1:10" x14ac:dyDescent="0.3">
      <c r="A150"/>
      <c r="C150"/>
      <c r="E150"/>
      <c r="F150"/>
      <c r="J150" s="5"/>
    </row>
    <row r="151" spans="1:10" x14ac:dyDescent="0.3">
      <c r="A151"/>
      <c r="C151"/>
      <c r="E151"/>
      <c r="F151"/>
    </row>
    <row r="152" spans="1:10" x14ac:dyDescent="0.3">
      <c r="A152"/>
      <c r="C152" s="3"/>
      <c r="E152" s="1"/>
      <c r="F152"/>
    </row>
    <row r="153" spans="1:10" x14ac:dyDescent="0.3">
      <c r="A153"/>
      <c r="C153" s="3"/>
      <c r="E153" s="1"/>
      <c r="F153"/>
    </row>
    <row r="154" spans="1:10" x14ac:dyDescent="0.3">
      <c r="A154"/>
      <c r="C154" s="3"/>
      <c r="E154" s="1"/>
      <c r="F154"/>
    </row>
    <row r="155" spans="1:10" x14ac:dyDescent="0.3">
      <c r="A155"/>
      <c r="C155" s="3"/>
      <c r="E155" s="1"/>
      <c r="F155"/>
    </row>
    <row r="156" spans="1:10" x14ac:dyDescent="0.3">
      <c r="A156"/>
      <c r="C156" s="3"/>
      <c r="E156" s="1"/>
      <c r="F156"/>
    </row>
    <row r="157" spans="1:10" x14ac:dyDescent="0.3">
      <c r="A157"/>
      <c r="C157" s="3"/>
      <c r="E157" s="1"/>
      <c r="F157"/>
    </row>
    <row r="158" spans="1:10" x14ac:dyDescent="0.3">
      <c r="A158"/>
      <c r="C158" s="3"/>
      <c r="E158" s="1"/>
      <c r="F158"/>
    </row>
    <row r="159" spans="1:10" x14ac:dyDescent="0.3">
      <c r="A159"/>
      <c r="C159" s="3"/>
      <c r="E159" s="1"/>
      <c r="F159"/>
    </row>
    <row r="160" spans="1:10" x14ac:dyDescent="0.3">
      <c r="A160"/>
      <c r="C160" s="3"/>
      <c r="E160" s="1"/>
      <c r="F160"/>
    </row>
    <row r="161" spans="1:10" x14ac:dyDescent="0.3">
      <c r="A161"/>
      <c r="C161" s="3"/>
      <c r="E161" s="1"/>
      <c r="F161"/>
    </row>
    <row r="162" spans="1:10" x14ac:dyDescent="0.3">
      <c r="A162"/>
      <c r="C162" s="3"/>
      <c r="E162" s="1"/>
      <c r="F162"/>
    </row>
    <row r="163" spans="1:10" x14ac:dyDescent="0.3">
      <c r="A163"/>
      <c r="C163" s="3"/>
      <c r="E163" s="1"/>
      <c r="F163"/>
    </row>
    <row r="164" spans="1:10" x14ac:dyDescent="0.3">
      <c r="A164"/>
      <c r="C164" s="3"/>
      <c r="E164" s="1"/>
      <c r="F164"/>
    </row>
    <row r="165" spans="1:10" x14ac:dyDescent="0.3">
      <c r="A165"/>
      <c r="C165" s="3"/>
      <c r="E165" s="1"/>
      <c r="F165"/>
    </row>
    <row r="166" spans="1:10" ht="15" thickBot="1" x14ac:dyDescent="0.35">
      <c r="A166"/>
      <c r="C166" s="3"/>
      <c r="E166" s="1"/>
      <c r="F166"/>
    </row>
    <row r="167" spans="1:10" x14ac:dyDescent="0.3">
      <c r="A167"/>
      <c r="C167" s="3"/>
      <c r="E167" s="1"/>
      <c r="F167"/>
      <c r="J167" s="5"/>
    </row>
    <row r="168" spans="1:10" ht="15" thickBot="1" x14ac:dyDescent="0.35">
      <c r="A168"/>
      <c r="C168" s="3"/>
      <c r="E168" s="1"/>
      <c r="F168"/>
      <c r="J168" s="9"/>
    </row>
    <row r="169" spans="1:10" x14ac:dyDescent="0.3">
      <c r="A169"/>
      <c r="C169" s="3"/>
      <c r="E169" s="1"/>
      <c r="F169"/>
    </row>
    <row r="170" spans="1:10" ht="15" thickBot="1" x14ac:dyDescent="0.35">
      <c r="A170"/>
      <c r="C170" s="3"/>
      <c r="E170" s="1"/>
      <c r="F170"/>
    </row>
    <row r="171" spans="1:10" ht="15" thickBot="1" x14ac:dyDescent="0.35">
      <c r="A171"/>
      <c r="C171" s="3"/>
      <c r="E171" s="1"/>
      <c r="F171"/>
      <c r="J171" s="55"/>
    </row>
    <row r="172" spans="1:10" x14ac:dyDescent="0.3">
      <c r="A172"/>
      <c r="C172" s="3"/>
      <c r="E172" s="1"/>
      <c r="F172"/>
    </row>
    <row r="173" spans="1:10" x14ac:dyDescent="0.3">
      <c r="A173"/>
      <c r="C173" s="3"/>
      <c r="E173" s="1"/>
      <c r="F173"/>
    </row>
    <row r="174" spans="1:10" x14ac:dyDescent="0.3">
      <c r="A174"/>
      <c r="C174" s="3"/>
      <c r="E174" s="1"/>
      <c r="F174"/>
    </row>
    <row r="175" spans="1:10" x14ac:dyDescent="0.3">
      <c r="A175"/>
      <c r="C175" s="3"/>
      <c r="E175" s="1"/>
      <c r="F175"/>
    </row>
    <row r="176" spans="1:10" x14ac:dyDescent="0.3">
      <c r="A176"/>
      <c r="C176" s="3"/>
      <c r="E176" s="1"/>
      <c r="F176"/>
    </row>
    <row r="177" spans="1:6" x14ac:dyDescent="0.3">
      <c r="A177"/>
      <c r="C177" s="3"/>
      <c r="E177" s="1"/>
      <c r="F177"/>
    </row>
    <row r="178" spans="1:6" x14ac:dyDescent="0.3">
      <c r="A178"/>
      <c r="C178" s="3"/>
      <c r="E178" s="1"/>
      <c r="F178"/>
    </row>
    <row r="179" spans="1:6" x14ac:dyDescent="0.3">
      <c r="A179"/>
      <c r="C179" s="3"/>
      <c r="E179" s="1"/>
      <c r="F179"/>
    </row>
    <row r="180" spans="1:6" x14ac:dyDescent="0.3">
      <c r="A180"/>
      <c r="C180" s="3"/>
      <c r="E180" s="1"/>
      <c r="F180"/>
    </row>
    <row r="181" spans="1:6" x14ac:dyDescent="0.3">
      <c r="A181"/>
      <c r="C181" s="3"/>
      <c r="E181" s="1"/>
      <c r="F181"/>
    </row>
    <row r="182" spans="1:6" x14ac:dyDescent="0.3">
      <c r="A182"/>
      <c r="C182" s="3"/>
      <c r="E182" s="1"/>
      <c r="F182"/>
    </row>
    <row r="183" spans="1:6" x14ac:dyDescent="0.3">
      <c r="A183"/>
      <c r="C183" s="3"/>
      <c r="E183" s="1"/>
      <c r="F183"/>
    </row>
    <row r="184" spans="1:6" x14ac:dyDescent="0.3">
      <c r="A184"/>
      <c r="C184" s="3"/>
      <c r="E184" s="1"/>
      <c r="F184"/>
    </row>
    <row r="185" spans="1:6" x14ac:dyDescent="0.3">
      <c r="A185"/>
      <c r="C185" s="3"/>
      <c r="E185" s="1"/>
      <c r="F185"/>
    </row>
    <row r="186" spans="1:6" x14ac:dyDescent="0.3">
      <c r="A186"/>
      <c r="C186" s="3"/>
      <c r="E186" s="1"/>
      <c r="F186"/>
    </row>
    <row r="187" spans="1:6" x14ac:dyDescent="0.3">
      <c r="A187"/>
      <c r="C187" s="3"/>
      <c r="E187" s="1"/>
      <c r="F187"/>
    </row>
    <row r="188" spans="1:6" x14ac:dyDescent="0.3">
      <c r="A188"/>
      <c r="C188" s="3"/>
      <c r="E188" s="1"/>
      <c r="F188"/>
    </row>
    <row r="189" spans="1:6" x14ac:dyDescent="0.3">
      <c r="A189"/>
      <c r="C189" s="3"/>
      <c r="E189" s="1"/>
      <c r="F189"/>
    </row>
    <row r="190" spans="1:6" x14ac:dyDescent="0.3">
      <c r="A190"/>
      <c r="C190" s="3"/>
      <c r="E190" s="1"/>
      <c r="F190"/>
    </row>
    <row r="191" spans="1:6" x14ac:dyDescent="0.3">
      <c r="A191"/>
      <c r="C191" s="3"/>
      <c r="E191" s="1"/>
      <c r="F191"/>
    </row>
    <row r="192" spans="1:6" x14ac:dyDescent="0.3">
      <c r="A192"/>
      <c r="C192" s="3"/>
      <c r="E192" s="1"/>
      <c r="F192"/>
    </row>
    <row r="193" spans="1:6" x14ac:dyDescent="0.3">
      <c r="A193"/>
      <c r="C193" s="3"/>
      <c r="E193" s="1"/>
      <c r="F193"/>
    </row>
    <row r="194" spans="1:6" x14ac:dyDescent="0.3">
      <c r="A194"/>
      <c r="C194" s="3"/>
      <c r="E194" s="1"/>
      <c r="F194"/>
    </row>
    <row r="195" spans="1:6" x14ac:dyDescent="0.3">
      <c r="A195"/>
      <c r="C195" s="3"/>
      <c r="E195" s="1"/>
      <c r="F195"/>
    </row>
    <row r="196" spans="1:6" x14ac:dyDescent="0.3">
      <c r="A196"/>
      <c r="C196" s="3"/>
      <c r="E196" s="1"/>
      <c r="F196"/>
    </row>
    <row r="197" spans="1:6" x14ac:dyDescent="0.3">
      <c r="A197"/>
      <c r="C197" s="3"/>
      <c r="E197" s="1"/>
      <c r="F197"/>
    </row>
    <row r="198" spans="1:6" x14ac:dyDescent="0.3">
      <c r="A198"/>
      <c r="C198" s="3"/>
      <c r="E198" s="1"/>
      <c r="F198"/>
    </row>
    <row r="199" spans="1:6" x14ac:dyDescent="0.3">
      <c r="A199"/>
      <c r="C199" s="3"/>
      <c r="E199" s="1"/>
      <c r="F199"/>
    </row>
    <row r="200" spans="1:6" x14ac:dyDescent="0.3">
      <c r="A200"/>
      <c r="C200" s="3"/>
      <c r="E200" s="1"/>
      <c r="F200"/>
    </row>
    <row r="201" spans="1:6" x14ac:dyDescent="0.3">
      <c r="A201"/>
      <c r="C201" s="3"/>
      <c r="E201" s="1"/>
      <c r="F201"/>
    </row>
    <row r="202" spans="1:6" x14ac:dyDescent="0.3">
      <c r="A202"/>
      <c r="C202" s="3"/>
      <c r="E202" s="1"/>
      <c r="F202"/>
    </row>
    <row r="203" spans="1:6" x14ac:dyDescent="0.3">
      <c r="A203"/>
      <c r="C203" s="3"/>
      <c r="E203" s="1"/>
      <c r="F203"/>
    </row>
    <row r="204" spans="1:6" x14ac:dyDescent="0.3">
      <c r="A204"/>
      <c r="C204" s="3"/>
      <c r="E204" s="1"/>
      <c r="F204"/>
    </row>
    <row r="205" spans="1:6" x14ac:dyDescent="0.3">
      <c r="A205"/>
      <c r="C205" s="3"/>
      <c r="E205" s="1"/>
      <c r="F205"/>
    </row>
    <row r="206" spans="1:6" x14ac:dyDescent="0.3">
      <c r="A206"/>
      <c r="C206" s="3"/>
      <c r="E206" s="1"/>
      <c r="F206"/>
    </row>
    <row r="207" spans="1:6" x14ac:dyDescent="0.3">
      <c r="A207"/>
      <c r="C207" s="3"/>
      <c r="E207" s="1"/>
      <c r="F207"/>
    </row>
    <row r="208" spans="1:6" x14ac:dyDescent="0.3">
      <c r="A208"/>
      <c r="C208" s="3"/>
      <c r="E208" s="1"/>
      <c r="F208"/>
    </row>
    <row r="209" spans="1:6" ht="15" customHeight="1" x14ac:dyDescent="0.3">
      <c r="A209"/>
      <c r="C209" s="3"/>
      <c r="E209" s="1"/>
      <c r="F209"/>
    </row>
    <row r="210" spans="1:6" x14ac:dyDescent="0.3">
      <c r="A210"/>
      <c r="C210" s="3"/>
      <c r="E210" s="1"/>
      <c r="F210"/>
    </row>
    <row r="211" spans="1:6" x14ac:dyDescent="0.3">
      <c r="A211"/>
      <c r="C211" s="3"/>
      <c r="E211" s="1"/>
      <c r="F211"/>
    </row>
    <row r="212" spans="1:6" x14ac:dyDescent="0.3">
      <c r="A212"/>
      <c r="C212" s="3"/>
      <c r="E212" s="1"/>
      <c r="F212"/>
    </row>
    <row r="213" spans="1:6" x14ac:dyDescent="0.3">
      <c r="A213"/>
      <c r="C213" s="3"/>
      <c r="E213" s="1"/>
      <c r="F213"/>
    </row>
    <row r="214" spans="1:6" x14ac:dyDescent="0.3">
      <c r="A214"/>
      <c r="C214" s="3"/>
      <c r="E214" s="1"/>
      <c r="F214"/>
    </row>
    <row r="215" spans="1:6" x14ac:dyDescent="0.3">
      <c r="A215"/>
      <c r="C215" s="3"/>
      <c r="E215" s="1"/>
      <c r="F215"/>
    </row>
    <row r="216" spans="1:6" x14ac:dyDescent="0.3">
      <c r="A216"/>
      <c r="C216" s="3"/>
      <c r="E216" s="1"/>
      <c r="F216"/>
    </row>
    <row r="217" spans="1:6" x14ac:dyDescent="0.3">
      <c r="A217"/>
      <c r="C217" s="3"/>
      <c r="E217" s="1"/>
      <c r="F217"/>
    </row>
    <row r="218" spans="1:6" x14ac:dyDescent="0.3">
      <c r="A218"/>
      <c r="C218" s="3"/>
      <c r="E218" s="1"/>
      <c r="F218"/>
    </row>
    <row r="219" spans="1:6" x14ac:dyDescent="0.3">
      <c r="A219"/>
      <c r="C219" s="3"/>
      <c r="E219" s="1"/>
      <c r="F219"/>
    </row>
    <row r="220" spans="1:6" x14ac:dyDescent="0.3">
      <c r="A220"/>
      <c r="C220" s="3"/>
      <c r="E220" s="1"/>
      <c r="F220"/>
    </row>
    <row r="221" spans="1:6" x14ac:dyDescent="0.3">
      <c r="A221"/>
      <c r="C221" s="3"/>
      <c r="E221" s="1"/>
      <c r="F221"/>
    </row>
    <row r="222" spans="1:6" x14ac:dyDescent="0.3">
      <c r="A222"/>
      <c r="C222" s="3"/>
      <c r="E222" s="1"/>
      <c r="F222"/>
    </row>
    <row r="223" spans="1:6" x14ac:dyDescent="0.3">
      <c r="A223"/>
      <c r="C223" s="3"/>
      <c r="E223" s="1"/>
      <c r="F223"/>
    </row>
    <row r="224" spans="1:6" x14ac:dyDescent="0.3">
      <c r="A224"/>
      <c r="C224" s="3"/>
      <c r="E224" s="1"/>
      <c r="F224"/>
    </row>
    <row r="225" spans="1:6" ht="15" customHeight="1" x14ac:dyDescent="0.3">
      <c r="A225"/>
      <c r="C225" s="3"/>
      <c r="E225" s="1"/>
      <c r="F225"/>
    </row>
    <row r="226" spans="1:6" x14ac:dyDescent="0.3">
      <c r="A226"/>
      <c r="C226" s="3"/>
      <c r="E226" s="1"/>
      <c r="F226"/>
    </row>
    <row r="227" spans="1:6" x14ac:dyDescent="0.3">
      <c r="A227"/>
      <c r="C227" s="3"/>
      <c r="E227" s="1"/>
      <c r="F227"/>
    </row>
    <row r="228" spans="1:6" x14ac:dyDescent="0.3">
      <c r="A228"/>
      <c r="C228" s="3"/>
      <c r="E228" s="1"/>
      <c r="F228"/>
    </row>
    <row r="229" spans="1:6" x14ac:dyDescent="0.3">
      <c r="A229"/>
      <c r="C229" s="3"/>
      <c r="E229" s="1"/>
      <c r="F229"/>
    </row>
    <row r="230" spans="1:6" x14ac:dyDescent="0.3">
      <c r="A230"/>
      <c r="C230" s="3"/>
      <c r="E230" s="1"/>
      <c r="F230"/>
    </row>
    <row r="231" spans="1:6" x14ac:dyDescent="0.3">
      <c r="A231"/>
      <c r="C231" s="3"/>
      <c r="E231" s="1"/>
      <c r="F231"/>
    </row>
    <row r="232" spans="1:6" x14ac:dyDescent="0.3">
      <c r="A232"/>
      <c r="C232" s="3"/>
      <c r="E232" s="1"/>
      <c r="F232"/>
    </row>
    <row r="233" spans="1:6" x14ac:dyDescent="0.3">
      <c r="A233"/>
      <c r="C233" s="3"/>
      <c r="E233" s="1"/>
      <c r="F233"/>
    </row>
    <row r="234" spans="1:6" x14ac:dyDescent="0.3">
      <c r="A234"/>
      <c r="C234" s="3"/>
      <c r="E234" s="1"/>
      <c r="F234"/>
    </row>
    <row r="235" spans="1:6" x14ac:dyDescent="0.3">
      <c r="A235"/>
      <c r="C235" s="3"/>
      <c r="E235" s="1"/>
      <c r="F235"/>
    </row>
    <row r="236" spans="1:6" x14ac:dyDescent="0.3">
      <c r="A236"/>
      <c r="C236" s="3"/>
      <c r="E236" s="1"/>
      <c r="F236"/>
    </row>
    <row r="237" spans="1:6" x14ac:dyDescent="0.3">
      <c r="A237"/>
      <c r="C237" s="3"/>
      <c r="E237" s="1"/>
      <c r="F237"/>
    </row>
    <row r="238" spans="1:6" x14ac:dyDescent="0.3">
      <c r="A238"/>
      <c r="C238" s="3"/>
      <c r="E238" s="1"/>
      <c r="F238"/>
    </row>
    <row r="239" spans="1:6" x14ac:dyDescent="0.3">
      <c r="A239"/>
      <c r="C239" s="3"/>
      <c r="E239" s="1"/>
      <c r="F239"/>
    </row>
  </sheetData>
  <mergeCells count="14">
    <mergeCell ref="D17:D20"/>
    <mergeCell ref="I4:I9"/>
    <mergeCell ref="B12:B13"/>
    <mergeCell ref="A11:A21"/>
    <mergeCell ref="B14:B15"/>
    <mergeCell ref="C12:C15"/>
    <mergeCell ref="C4:C9"/>
    <mergeCell ref="A4:A9"/>
    <mergeCell ref="B4:B9"/>
    <mergeCell ref="K4:K9"/>
    <mergeCell ref="L4:L9"/>
    <mergeCell ref="H4:H9"/>
    <mergeCell ref="F4:F9"/>
    <mergeCell ref="G4:G9"/>
  </mergeCells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C6A1F881A7CE6469D5281BA262D4ACC" ma:contentTypeVersion="18" ma:contentTypeDescription="Create a new document." ma:contentTypeScope="" ma:versionID="061e5b6478b5cc4f0259930d19330ed1">
  <xsd:schema xmlns:xsd="http://www.w3.org/2001/XMLSchema" xmlns:xs="http://www.w3.org/2001/XMLSchema" xmlns:p="http://schemas.microsoft.com/office/2006/metadata/properties" xmlns:ns2="a8ce4905-e698-48ba-93b5-f677fcb0ca1b" xmlns:ns3="c7cd5518-e225-49e3-b813-f6ed85f216d4" targetNamespace="http://schemas.microsoft.com/office/2006/metadata/properties" ma:root="true" ma:fieldsID="5536fa4cc99fdd817cd691ff1766e70a" ns2:_="" ns3:_="">
    <xsd:import namespace="a8ce4905-e698-48ba-93b5-f677fcb0ca1b"/>
    <xsd:import namespace="c7cd5518-e225-49e3-b813-f6ed85f216d4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OCR" minOccurs="0"/>
                <xsd:element ref="ns2:MediaServiceLocation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SearchProperties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8ce4905-e698-48ba-93b5-f677fcb0ca1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GenerationTime" ma:index="10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1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3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14" nillable="true" ma:displayName="Location" ma:internalName="MediaServiceLocation" ma:readOnly="true">
      <xsd:simpleType>
        <xsd:restriction base="dms:Text"/>
      </xsd:simpleType>
    </xsd:element>
    <xsd:element name="MediaServiceAutoKeyPoints" ma:index="17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8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19" nillable="true" ma:displayName="Length (seconds)" ma:internalName="MediaLengthInSeconds" ma:readOnly="true">
      <xsd:simpleType>
        <xsd:restriction base="dms:Unknown"/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b906c78a-8b93-4682-b621-597ff65c9b25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SearchProperties" ma:index="23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24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7cd5518-e225-49e3-b813-f6ed85f216d4" elementFormDefault="qualified">
    <xsd:import namespace="http://schemas.microsoft.com/office/2006/documentManagement/types"/>
    <xsd:import namespace="http://schemas.microsoft.com/office/infopath/2007/PartnerControls"/>
    <xsd:element name="SharedWithUsers" ma:index="15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6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0380c85e-ee37-4a71-b2f0-8e3909803e81}" ma:internalName="TaxCatchAll" ma:showField="CatchAllData" ma:web="c7cd5518-e225-49e3-b813-f6ed85f216d4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8ce4905-e698-48ba-93b5-f677fcb0ca1b">
      <Terms xmlns="http://schemas.microsoft.com/office/infopath/2007/PartnerControls"/>
    </lcf76f155ced4ddcb4097134ff3c332f>
    <TaxCatchAll xmlns="c7cd5518-e225-49e3-b813-f6ed85f216d4" xsi:nil="true"/>
  </documentManagement>
</p:properties>
</file>

<file path=customXml/itemProps1.xml><?xml version="1.0" encoding="utf-8"?>
<ds:datastoreItem xmlns:ds="http://schemas.openxmlformats.org/officeDocument/2006/customXml" ds:itemID="{2EB9872A-5240-4EEB-9B15-74F73CF1C948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B4BA03B0-EDD7-4C05-86FC-248E42F6F83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8ce4905-e698-48ba-93b5-f677fcb0ca1b"/>
    <ds:schemaRef ds:uri="c7cd5518-e225-49e3-b813-f6ed85f216d4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3AF8129-1829-435E-A215-77E2D83696F0}">
  <ds:schemaRefs>
    <ds:schemaRef ds:uri="http://schemas.microsoft.com/office/2006/metadata/properties"/>
    <ds:schemaRef ds:uri="http://schemas.microsoft.com/office/infopath/2007/PartnerControls"/>
    <ds:schemaRef ds:uri="a8ce4905-e698-48ba-93b5-f677fcb0ca1b"/>
    <ds:schemaRef ds:uri="c7cd5518-e225-49e3-b813-f6ed85f216d4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35</vt:i4>
      </vt:variant>
    </vt:vector>
  </HeadingPairs>
  <TitlesOfParts>
    <vt:vector size="35" baseType="lpstr">
      <vt:lpstr>ACV - OPERA QATAR</vt:lpstr>
      <vt:lpstr>ACV - ANALYSE - EQUIPEMENT</vt:lpstr>
      <vt:lpstr>ACV - ANALYSE - EQUIPEMENT (2)</vt:lpstr>
      <vt:lpstr>ACV - FOLIO - 1</vt:lpstr>
      <vt:lpstr>CALCUL MASSE CABLE</vt:lpstr>
      <vt:lpstr>RECAP MATIERE</vt:lpstr>
      <vt:lpstr>BOM</vt:lpstr>
      <vt:lpstr>FAUTEUIL</vt:lpstr>
      <vt:lpstr>COQUE</vt:lpstr>
      <vt:lpstr>TETIERE</vt:lpstr>
      <vt:lpstr>ENS TABLETTE COCKTAIL</vt:lpstr>
      <vt:lpstr>ENS TABLETTE REPAS</vt:lpstr>
      <vt:lpstr>STOWAGE ASSEMBLE AVEC PORTE</vt:lpstr>
      <vt:lpstr>SUPPORT ECRAN ASSEMBLE</vt:lpstr>
      <vt:lpstr>RENFORT TUBULAIRE</vt:lpstr>
      <vt:lpstr>HABILLAGE SOUS FAUTEUIL</vt:lpstr>
      <vt:lpstr>ENSEMBLE PALETTE OPTIMISEE</vt:lpstr>
      <vt:lpstr>ENSEMBLE EQUIPEMENTS LATERALES</vt:lpstr>
      <vt:lpstr>ACCOUDOIR ALLEE</vt:lpstr>
      <vt:lpstr>BUMPER VERSION PORTE</vt:lpstr>
      <vt:lpstr>STRUCTURE OTTOMAN (horizontale)</vt:lpstr>
      <vt:lpstr>SUPPORT EQUIPE</vt:lpstr>
      <vt:lpstr>ENS STOWAGE LATERAL</vt:lpstr>
      <vt:lpstr>MANCHETTE ACC MOBILE</vt:lpstr>
      <vt:lpstr>MANCHETTE EQUIPEE</vt:lpstr>
      <vt:lpstr>SUPPORT MANCHETTE EQUIPEE</vt:lpstr>
      <vt:lpstr>SUPPORT NFC</vt:lpstr>
      <vt:lpstr>CAPOT NFC</vt:lpstr>
      <vt:lpstr>ENS STRUCTURE FIXE</vt:lpstr>
      <vt:lpstr>ENS PORTE</vt:lpstr>
      <vt:lpstr>COUSSIN OTTOMAN</vt:lpstr>
      <vt:lpstr>COUSSIN TETIERE</vt:lpstr>
      <vt:lpstr>ENS COUSSIN DOS VERSION TETIERE</vt:lpstr>
      <vt:lpstr>ENS COUSSIN DOSSIER</vt:lpstr>
      <vt:lpstr>ENS COUSSIN ASSISE</vt:lpstr>
    </vt:vector>
  </TitlesOfParts>
  <Manager/>
  <Company>STELIA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FENA E SILVA, Antonio (ALTRAN)</dc:creator>
  <cp:keywords/>
  <dc:description/>
  <cp:lastModifiedBy>MARTZ Yannick</cp:lastModifiedBy>
  <cp:revision/>
  <dcterms:created xsi:type="dcterms:W3CDTF">2021-11-02T15:45:58Z</dcterms:created>
  <dcterms:modified xsi:type="dcterms:W3CDTF">2025-11-25T14:50:15Z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0x0101002C6A1F881A7CE6469D5281BA262D4ACC</vt:lpwstr>
  </property>
  <property fmtid="{D5CDD505-2E9C-101B-9397-08002B2CF9AE}" pid="3" name="MediaServiceImageTags">
    <vt:lpwstr/>
  </property>
</Properties>
</file>